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rive Log" sheetId="1" r:id="rId4"/>
  </sheets>
</workbook>
</file>

<file path=xl/sharedStrings.xml><?xml version="1.0" encoding="utf-8"?>
<sst xmlns="http://schemas.openxmlformats.org/spreadsheetml/2006/main" uniqueCount="219">
  <si>
    <t>Table 1</t>
  </si>
  <si>
    <t>Location</t>
  </si>
  <si>
    <t>Checked</t>
  </si>
  <si>
    <t>Network</t>
  </si>
  <si>
    <t>Rated KW</t>
  </si>
  <si>
    <t>Arrival</t>
  </si>
  <si>
    <t>Departure</t>
  </si>
  <si>
    <t>Odometer</t>
  </si>
  <si>
    <t>Arr SOC</t>
  </si>
  <si>
    <t>Dep SOC</t>
  </si>
  <si>
    <t>Total Charge Time</t>
  </si>
  <si>
    <t>Running Total Charge</t>
  </si>
  <si>
    <t>KM since last</t>
  </si>
  <si>
    <t>Running Total KM</t>
  </si>
  <si>
    <t>kWh Received</t>
  </si>
  <si>
    <t>Max KW</t>
  </si>
  <si>
    <t>Running Total kWh</t>
  </si>
  <si>
    <r>
      <rPr>
        <b val="1"/>
        <u val="single"/>
        <sz val="10"/>
        <color indexed="8"/>
        <rFont val="Helvetica Neue"/>
      </rPr>
      <t>gCO2 Equivalent</t>
    </r>
    <r>
      <rPr>
        <b val="1"/>
        <sz val="10"/>
        <color indexed="8"/>
        <rFont val="Helvetica Neue"/>
      </rPr>
      <t xml:space="preserve"> (each province)</t>
    </r>
  </si>
  <si>
    <t>Running Total kilograms of CO2</t>
  </si>
  <si>
    <t>Charge Cost/min</t>
  </si>
  <si>
    <t>Charge Total (tax inc)</t>
  </si>
  <si>
    <t>Running Charge Total</t>
  </si>
  <si>
    <t>Cost/kWh</t>
  </si>
  <si>
    <t>Leave Port Alberni (Victoria)</t>
  </si>
  <si>
    <t>Arrive Wendy’s / Frills</t>
  </si>
  <si>
    <t>Wendy’s and No Frills Charge</t>
  </si>
  <si>
    <t>Arrive Vic</t>
  </si>
  <si>
    <t>Saanich Charge</t>
  </si>
  <si>
    <t>Mile Zero</t>
  </si>
  <si>
    <t>Vic</t>
  </si>
  <si>
    <t>Canadian Tire Nanaimo Arrive</t>
  </si>
  <si>
    <t>Canadian Tire Nanaimo Charge</t>
  </si>
  <si>
    <t>Home Port Alberni</t>
  </si>
  <si>
    <t>Home Port Alberni Charge</t>
  </si>
  <si>
    <t>Pacific Rim Charge</t>
  </si>
  <si>
    <t>Long Beach</t>
  </si>
  <si>
    <t>Home Charge</t>
  </si>
  <si>
    <t>Home</t>
  </si>
  <si>
    <t>Hope Charge</t>
  </si>
  <si>
    <t>Y</t>
  </si>
  <si>
    <t>Electrify Canada</t>
  </si>
  <si>
    <t xml:space="preserve"> </t>
  </si>
  <si>
    <t>Kamloops Charge</t>
  </si>
  <si>
    <t>Barriere stay</t>
  </si>
  <si>
    <t>Little Fort</t>
  </si>
  <si>
    <t>BC Hydro</t>
  </si>
  <si>
    <t>Blue River</t>
  </si>
  <si>
    <t>Mt Robson</t>
  </si>
  <si>
    <t>FLO Jasper 1</t>
  </si>
  <si>
    <t>FLO</t>
  </si>
  <si>
    <t>FLO Jasper 2</t>
  </si>
  <si>
    <t>Wapiti</t>
  </si>
  <si>
    <t>FLO Jasper 3</t>
  </si>
  <si>
    <t>Lake Louise Hotel Charge</t>
  </si>
  <si>
    <t>None</t>
  </si>
  <si>
    <t>Lake Louise Shell Charge (Tesla)</t>
  </si>
  <si>
    <t>Tesla</t>
  </si>
  <si>
    <t>Canmore Charge</t>
  </si>
  <si>
    <t>Strath more Charge</t>
  </si>
  <si>
    <t>Brooks Charge</t>
  </si>
  <si>
    <t>Medicine Hat Charge 1</t>
  </si>
  <si>
    <t>Petro Canada</t>
  </si>
  <si>
    <t>Medicine Hat Charge 2</t>
  </si>
  <si>
    <t>Swift Current Widus</t>
  </si>
  <si>
    <t>Swift Current Charge 1</t>
  </si>
  <si>
    <t>Swift Current Charge 2</t>
  </si>
  <si>
    <t>Moose Jaw Charge 1</t>
  </si>
  <si>
    <t>Check tree app</t>
  </si>
  <si>
    <t>Moose Jaw Charge 2</t>
  </si>
  <si>
    <t>N</t>
  </si>
  <si>
    <t>Regina Petro Charge</t>
  </si>
  <si>
    <t>Regina Coop Charge</t>
  </si>
  <si>
    <t>Co-Op</t>
  </si>
  <si>
    <t>White wood Charge</t>
  </si>
  <si>
    <t>Estimate Range</t>
  </si>
  <si>
    <t>Virden Charge</t>
  </si>
  <si>
    <t>Brandon Charge</t>
  </si>
  <si>
    <t>Riding Mountain Charge</t>
  </si>
  <si>
    <t>Wasagaming beach</t>
  </si>
  <si>
    <t>Wasagaming camp</t>
  </si>
  <si>
    <t>Portage La Prairie</t>
  </si>
  <si>
    <t>Petro-Canada</t>
  </si>
  <si>
    <t>Winnipeg Saint Boniface</t>
  </si>
  <si>
    <t>Kenora Charge</t>
  </si>
  <si>
    <t>Ivy</t>
  </si>
  <si>
    <t>Ignace Charge</t>
  </si>
  <si>
    <t>Receipt said $0 total on a $20 charge. ?</t>
  </si>
  <si>
    <t>Nights Inn Charge</t>
  </si>
  <si>
    <t>Thunder Bay Charge icy</t>
  </si>
  <si>
    <t>Nipigon Petro</t>
  </si>
  <si>
    <t>Terrace Bay charge Ivy</t>
  </si>
  <si>
    <t>White Rivercharge Ivy</t>
  </si>
  <si>
    <t>Wawa charge 1</t>
  </si>
  <si>
    <t>Wawa charge Petro 2</t>
  </si>
  <si>
    <t>Sault Charge Petro</t>
  </si>
  <si>
    <t>Blind River Charge Ivy</t>
  </si>
  <si>
    <t>Blind River Eldo Inn charge 1</t>
  </si>
  <si>
    <t>Blind River Eldo Inn charge 2</t>
  </si>
  <si>
    <t>Española Petro Can</t>
  </si>
  <si>
    <t>Owen Sound Ivy</t>
  </si>
  <si>
    <t>Owen Sound Ivy 2</t>
  </si>
  <si>
    <t>Collingwood FLO 1</t>
  </si>
  <si>
    <t>Collingwood FLO 2</t>
  </si>
  <si>
    <t>Woodstock CanTireFlo</t>
  </si>
  <si>
    <t>Woodstock FLO slow</t>
  </si>
  <si>
    <t>Niagara Falls Chargepoint</t>
  </si>
  <si>
    <t>ChargePoint</t>
  </si>
  <si>
    <t>IVY Brantford 1</t>
  </si>
  <si>
    <t>Woodstock FLO 2</t>
  </si>
  <si>
    <t>Woodstock FLO 3</t>
  </si>
  <si>
    <t>Toronto Outlet ElecCanada</t>
  </si>
  <si>
    <t>Toronto Outlet ElecCanada 2</t>
  </si>
  <si>
    <t>Ivy Peterborough</t>
  </si>
  <si>
    <t>Ivy Carleton Place</t>
  </si>
  <si>
    <t>Kittawa 120V 1</t>
  </si>
  <si>
    <t>Canadian Tire EC Ottawa 1</t>
  </si>
  <si>
    <t>Canadian Tire EC Ottawa 2</t>
  </si>
  <si>
    <t>Canadian Tire EC Ottawa 3</t>
  </si>
  <si>
    <t>Kittawa 120V 2</t>
  </si>
  <si>
    <t>Canadian Tire EC 4</t>
  </si>
  <si>
    <t>Kittawa 120V 3</t>
  </si>
  <si>
    <t>Point du journEC</t>
  </si>
  <si>
    <t>Electric Circuit</t>
  </si>
  <si>
    <t xml:space="preserve">St hubert Jules vernes EC </t>
  </si>
  <si>
    <t>ElecCirc Saint Pascal 1</t>
  </si>
  <si>
    <t>EC Saint Pascal 2</t>
  </si>
  <si>
    <t>Irving Oil Grand Falls</t>
  </si>
  <si>
    <t>Energie MB FLO Perth</t>
  </si>
  <si>
    <t xml:space="preserve">Energíe MB FLO Fredericton </t>
  </si>
  <si>
    <t>Sussex NBEn FLO</t>
  </si>
  <si>
    <t>Montón FLO slow</t>
  </si>
  <si>
    <t>Moncton FLO fast</t>
  </si>
  <si>
    <t>PEI Arrive</t>
  </si>
  <si>
    <t>GreenHablesL2</t>
  </si>
  <si>
    <t>Summerside CanTireFlo</t>
  </si>
  <si>
    <t>Alberton Chargepoint L2</t>
  </si>
  <si>
    <t>North cape</t>
  </si>
  <si>
    <t xml:space="preserve">O’Leary FLO </t>
  </si>
  <si>
    <t>Charlottetown ChargepointL2</t>
  </si>
  <si>
    <t>Souris</t>
  </si>
  <si>
    <t>BordenCarletonFlo</t>
  </si>
  <si>
    <t>Cavendish depart</t>
  </si>
  <si>
    <t>Shediac FLO/ECharge</t>
  </si>
  <si>
    <t>MirFLO l2</t>
  </si>
  <si>
    <t>MirFLO fast</t>
  </si>
  <si>
    <t>GrandfallsFloL2</t>
  </si>
  <si>
    <t xml:space="preserve">Degelis </t>
  </si>
  <si>
    <t>Saint Pascal</t>
  </si>
  <si>
    <t>Levis</t>
  </si>
  <si>
    <t>QuebecCityParkadeFLO</t>
  </si>
  <si>
    <t>EconoHotel120V</t>
  </si>
  <si>
    <t>NONE</t>
  </si>
  <si>
    <t>StHyavynthe EC</t>
  </si>
  <si>
    <t xml:space="preserve">Bell centre </t>
  </si>
  <si>
    <t>Lange Gardiner EC</t>
  </si>
  <si>
    <t>Petawawa</t>
  </si>
  <si>
    <t>North Bay Ivy</t>
  </si>
  <si>
    <t>Sudbury Petro</t>
  </si>
  <si>
    <t>Sudbury Hotel</t>
  </si>
  <si>
    <t>Blind river Ivy</t>
  </si>
  <si>
    <t>Sault Ivy</t>
  </si>
  <si>
    <t>WawA Petro</t>
  </si>
  <si>
    <t>White river Ivy</t>
  </si>
  <si>
    <t>Terrace Bay Ivy</t>
  </si>
  <si>
    <t>Thunder Bay Petro</t>
  </si>
  <si>
    <t>IgnacePetro</t>
  </si>
  <si>
    <t>Dryden Ivy</t>
  </si>
  <si>
    <t xml:space="preserve">Kenora Redden </t>
  </si>
  <si>
    <t>Winnipeg Petro Ivy</t>
  </si>
  <si>
    <t>The Forks Parkade Parks Canada L2</t>
  </si>
  <si>
    <t>Brandon Petro</t>
  </si>
  <si>
    <t>Brandon Petro 2</t>
  </si>
  <si>
    <t xml:space="preserve"> Check</t>
  </si>
  <si>
    <t>Whitewood</t>
  </si>
  <si>
    <t>Regina Coop</t>
  </si>
  <si>
    <t>Moose Jaw petro</t>
  </si>
  <si>
    <t>Moose Jaw CoOp</t>
  </si>
  <si>
    <t>Moose Jaw FordL2</t>
  </si>
  <si>
    <t>Saskatoon FLO</t>
  </si>
  <si>
    <t>Battleford FLO</t>
  </si>
  <si>
    <t>Loydminster Flo</t>
  </si>
  <si>
    <t>Vegreville FLO</t>
  </si>
  <si>
    <t>WEdL2</t>
  </si>
  <si>
    <t>AMP</t>
  </si>
  <si>
    <t>Innisfail FLO Solar</t>
  </si>
  <si>
    <t>Cochrane She’ll</t>
  </si>
  <si>
    <t>Shell</t>
  </si>
  <si>
    <t>Field BCH</t>
  </si>
  <si>
    <t>GoldenPetro</t>
  </si>
  <si>
    <t>Salmon ArmElcan</t>
  </si>
  <si>
    <t>ChaseBCH</t>
  </si>
  <si>
    <t>River rest stop AshcroftBCH</t>
  </si>
  <si>
    <t>Boston BarBCH</t>
  </si>
  <si>
    <t>NanaimoBCH1</t>
  </si>
  <si>
    <t>NanaimoBCH2</t>
  </si>
  <si>
    <t>HOME/TOTAL</t>
  </si>
  <si>
    <t>All chargers</t>
  </si>
  <si>
    <t>50KW chargers</t>
  </si>
  <si>
    <t>100+KW chargers</t>
  </si>
  <si>
    <t>L2 and L1</t>
  </si>
  <si>
    <t>Efficiency</t>
  </si>
  <si>
    <t>km/kWh</t>
  </si>
  <si>
    <t>Prairie Effic</t>
  </si>
  <si>
    <t>Non-Prairie</t>
  </si>
  <si>
    <t>Emissions by Province</t>
  </si>
  <si>
    <t>KM</t>
  </si>
  <si>
    <t>$</t>
  </si>
  <si>
    <t>BC</t>
  </si>
  <si>
    <t>kg</t>
  </si>
  <si>
    <t>AB</t>
  </si>
  <si>
    <t>SK</t>
  </si>
  <si>
    <t>MB</t>
  </si>
  <si>
    <t>ON</t>
  </si>
  <si>
    <t>QC</t>
  </si>
  <si>
    <t>NB</t>
  </si>
  <si>
    <t>PEI</t>
  </si>
  <si>
    <t>All Averages</t>
  </si>
  <si>
    <t>Only Fast Chargers</t>
  </si>
  <si>
    <t>Only Slow Chargers</t>
  </si>
</sst>
</file>

<file path=xl/styles.xml><?xml version="1.0" encoding="utf-8"?>
<styleSheet xmlns="http://schemas.openxmlformats.org/spreadsheetml/2006/main">
  <numFmts count="14">
    <numFmt numFmtId="0" formatCode="General"/>
    <numFmt numFmtId="59" formatCode="ddd, mmm d, yyyy h:mmAM/PM m/d/yyyy"/>
    <numFmt numFmtId="60" formatCode="[h]&quot;h&quot; m&quot;m&quot; s&quot;s&quot;"/>
    <numFmt numFmtId="61" formatCode="&quot;$&quot;0.0000"/>
    <numFmt numFmtId="62" formatCode="&quot;$&quot;0.00"/>
    <numFmt numFmtId="63" formatCode="[m]&quot;m&quot;"/>
    <numFmt numFmtId="64" formatCode="[m]&quot;m&quot; s&quot;s&quot;"/>
    <numFmt numFmtId="65" formatCode="yyyy-mm-dd h:mm AM/PM"/>
    <numFmt numFmtId="66" formatCode="0.0%"/>
    <numFmt numFmtId="67" formatCode="yyyy-mm-dd h:mm:ss AM/PM"/>
    <numFmt numFmtId="68" formatCode="0.0"/>
    <numFmt numFmtId="69" formatCode="hh:mm"/>
    <numFmt numFmtId="70" formatCode="[h]&quot;h&quot; m&quot;m&quot;"/>
    <numFmt numFmtId="71" formatCode="mmm d, yyyy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u val="single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59" fontId="0" fillId="2" borderId="3" applyNumberFormat="1" applyFont="1" applyFill="1" applyBorder="1" applyAlignment="1" applyProtection="0">
      <alignment vertical="top" wrapText="1"/>
    </xf>
    <xf numFmtId="59" fontId="0" fillId="2" borderId="4" applyNumberFormat="1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60" fontId="0" fillId="2" borderId="4" applyNumberFormat="1" applyFont="1" applyFill="1" applyBorder="1" applyAlignment="1" applyProtection="0">
      <alignment vertical="top" wrapText="1"/>
    </xf>
    <xf numFmtId="0" fontId="0" fillId="2" borderId="4" applyNumberFormat="1" applyFont="1" applyFill="1" applyBorder="1" applyAlignment="1" applyProtection="0">
      <alignment vertical="top" wrapText="1"/>
    </xf>
    <xf numFmtId="49" fontId="2" fillId="2" borderId="5" applyNumberFormat="1" applyFont="1" applyFill="1" applyBorder="1" applyAlignment="1" applyProtection="0">
      <alignment vertical="top" wrapText="1"/>
    </xf>
    <xf numFmtId="59" fontId="0" fillId="2" borderId="6" applyNumberFormat="1" applyFont="1" applyFill="1" applyBorder="1" applyAlignment="1" applyProtection="0">
      <alignment vertical="top" wrapText="1"/>
    </xf>
    <xf numFmtId="59" fontId="0" fillId="2" borderId="7" applyNumberFormat="1" applyFont="1" applyFill="1" applyBorder="1" applyAlignment="1" applyProtection="0">
      <alignment vertical="top" wrapText="1"/>
    </xf>
    <xf numFmtId="0" fontId="0" fillId="2" borderId="7" applyNumberFormat="1" applyFont="1" applyFill="1" applyBorder="1" applyAlignment="1" applyProtection="0">
      <alignment vertical="top" wrapText="1"/>
    </xf>
    <xf numFmtId="60" fontId="0" fillId="2" borderId="7" applyNumberFormat="1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2" fontId="0" fillId="2" borderId="7" applyNumberFormat="1" applyFont="1" applyFill="1" applyBorder="1" applyAlignment="1" applyProtection="0">
      <alignment vertical="top" wrapText="1"/>
    </xf>
    <xf numFmtId="61" fontId="0" fillId="2" borderId="7" applyNumberFormat="1" applyFont="1" applyFill="1" applyBorder="1" applyAlignment="1" applyProtection="0">
      <alignment vertical="top" wrapText="1"/>
    </xf>
    <xf numFmtId="62" fontId="0" fillId="2" borderId="7" applyNumberFormat="1" applyFont="1" applyFill="1" applyBorder="1" applyAlignment="1" applyProtection="0">
      <alignment vertical="top" wrapText="1"/>
    </xf>
    <xf numFmtId="63" fontId="0" fillId="2" borderId="7" applyNumberFormat="1" applyFont="1" applyFill="1" applyBorder="1" applyAlignment="1" applyProtection="0">
      <alignment vertical="top" wrapText="1"/>
    </xf>
    <xf numFmtId="64" fontId="0" fillId="2" borderId="7" applyNumberFormat="1" applyFont="1" applyFill="1" applyBorder="1" applyAlignment="1" applyProtection="0">
      <alignment vertical="top" wrapText="1"/>
    </xf>
    <xf numFmtId="65" fontId="0" fillId="2" borderId="6" applyNumberFormat="1" applyFont="1" applyFill="1" applyBorder="1" applyAlignment="1" applyProtection="0">
      <alignment vertical="top" wrapText="1"/>
    </xf>
    <xf numFmtId="65" fontId="0" fillId="2" borderId="7" applyNumberFormat="1" applyFont="1" applyFill="1" applyBorder="1" applyAlignment="1" applyProtection="0">
      <alignment vertical="top" wrapText="1"/>
    </xf>
    <xf numFmtId="66" fontId="0" fillId="2" borderId="7" applyNumberFormat="1" applyFont="1" applyFill="1" applyBorder="1" applyAlignment="1" applyProtection="0">
      <alignment vertical="top" wrapText="1"/>
    </xf>
    <xf numFmtId="67" fontId="0" fillId="2" borderId="7" applyNumberFormat="1" applyFont="1" applyFill="1" applyBorder="1" applyAlignment="1" applyProtection="0">
      <alignment vertical="top" wrapText="1"/>
    </xf>
    <xf numFmtId="68" fontId="0" fillId="2" borderId="7" applyNumberFormat="1" applyFont="1" applyFill="1" applyBorder="1" applyAlignment="1" applyProtection="0">
      <alignment vertical="top" wrapText="1"/>
    </xf>
    <xf numFmtId="9" fontId="0" fillId="2" borderId="7" applyNumberFormat="1" applyFont="1" applyFill="1" applyBorder="1" applyAlignment="1" applyProtection="0">
      <alignment vertical="top" wrapText="1"/>
    </xf>
    <xf numFmtId="69" fontId="0" fillId="2" borderId="7" applyNumberFormat="1" applyFont="1" applyFill="1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fillId="3" borderId="6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49" fontId="0" fillId="2" borderId="7" applyNumberFormat="1" applyFont="1" applyFill="1" applyBorder="1" applyAlignment="1" applyProtection="0">
      <alignment vertical="top" wrapText="1"/>
    </xf>
    <xf numFmtId="70" fontId="0" fillId="2" borderId="7" applyNumberFormat="1" applyFont="1" applyFill="1" applyBorder="1" applyAlignment="1" applyProtection="0">
      <alignment vertical="top" wrapText="1"/>
    </xf>
    <xf numFmtId="49" fontId="0" fillId="2" borderId="6" applyNumberFormat="1" applyFont="1" applyFill="1" applyBorder="1" applyAlignment="1" applyProtection="0">
      <alignment vertical="top" wrapText="1"/>
    </xf>
    <xf numFmtId="71" fontId="0" fillId="2" borderId="7" applyNumberFormat="1" applyFont="1" applyFill="1" applyBorder="1" applyAlignment="1" applyProtection="0">
      <alignment vertical="top" wrapText="1"/>
    </xf>
    <xf numFmtId="0" fontId="2" fillId="2" borderId="5" applyNumberFormat="0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2" borderId="6" applyNumberFormat="0" applyFont="1" applyFill="1" applyBorder="1" applyAlignment="1" applyProtection="0">
      <alignment vertical="top" wrapText="1"/>
    </xf>
    <xf numFmtId="0" fontId="2" fillId="2" borderId="7" applyNumberFormat="0" applyFont="1" applyFill="1" applyBorder="1" applyAlignment="1" applyProtection="0">
      <alignment vertical="top" wrapText="1"/>
    </xf>
    <xf numFmtId="49" fontId="2" fillId="2" borderId="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a5a5a5"/>
      <rgbColor rgb="ff3f3f3f"/>
      <rgbColor rgb="ff5e5e5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anada.ca/en/environment-climate-change/services/climate-change/greenhouse-gas-emissions/inventory.html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Y18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2656" style="1" customWidth="1"/>
    <col min="2" max="2" width="8.61719" style="1" customWidth="1"/>
    <col min="3" max="4" width="14.0547" style="1" customWidth="1"/>
    <col min="5" max="5" width="20.7188" style="1" customWidth="1"/>
    <col min="6" max="6" width="19.0938" style="1" customWidth="1"/>
    <col min="7" max="7" width="9.57812" style="1" customWidth="1"/>
    <col min="8" max="8" width="14.5" style="1" customWidth="1"/>
    <col min="9" max="9" width="5.22656" style="1" customWidth="1"/>
    <col min="10" max="10" width="10.4375" style="1" customWidth="1"/>
    <col min="11" max="11" width="12.3672" style="1" customWidth="1"/>
    <col min="12" max="12" width="8.03906" style="1" customWidth="1"/>
    <col min="13" max="13" width="9.27344" style="1" customWidth="1"/>
    <col min="14" max="14" width="9.32812" style="1" customWidth="1"/>
    <col min="15" max="15" width="8.07812" style="1" customWidth="1"/>
    <col min="16" max="16" width="9.53906" style="1" customWidth="1"/>
    <col min="17" max="17" width="10.1484" style="1" customWidth="1"/>
    <col min="18" max="18" width="10.5625" style="1" customWidth="1"/>
    <col min="19" max="19" width="8.75" style="1" customWidth="1"/>
    <col min="20" max="20" width="11.9297" style="1" customWidth="1"/>
    <col min="21" max="21" width="8.53906" style="1" customWidth="1"/>
    <col min="22" max="22" width="9.40625" style="1" customWidth="1"/>
    <col min="23" max="25" width="16.3516" style="1" customWidth="1"/>
    <col min="2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56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  <c r="J2" t="s" s="3">
        <v>10</v>
      </c>
      <c r="K2" t="s" s="3">
        <v>11</v>
      </c>
      <c r="L2" t="s" s="3">
        <v>12</v>
      </c>
      <c r="M2" t="s" s="3">
        <v>13</v>
      </c>
      <c r="N2" t="s" s="3">
        <v>14</v>
      </c>
      <c r="O2" t="s" s="3">
        <v>15</v>
      </c>
      <c r="P2" t="s" s="3">
        <v>16</v>
      </c>
      <c r="Q2" t="s" s="3">
        <v>17</v>
      </c>
      <c r="R2" t="s" s="3">
        <v>18</v>
      </c>
      <c r="S2" t="s" s="3">
        <v>19</v>
      </c>
      <c r="T2" t="s" s="3">
        <v>20</v>
      </c>
      <c r="U2" t="s" s="3">
        <v>21</v>
      </c>
      <c r="V2" t="s" s="3">
        <v>22</v>
      </c>
      <c r="W2" s="4"/>
      <c r="X2" s="4"/>
      <c r="Y2" s="4"/>
    </row>
    <row r="3" ht="20.2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9"/>
      <c r="L3" s="8"/>
      <c r="M3" s="8"/>
      <c r="N3" s="8"/>
      <c r="O3" s="8"/>
      <c r="P3" s="8"/>
      <c r="Q3" s="10">
        <f>N3*18</f>
        <v>0</v>
      </c>
      <c r="R3" s="8"/>
      <c r="S3" s="8"/>
      <c r="T3" s="8"/>
      <c r="U3" s="8"/>
      <c r="V3" s="8"/>
      <c r="W3" s="8"/>
      <c r="X3" s="8"/>
      <c r="Y3" s="8"/>
    </row>
    <row r="4" ht="44.05" customHeight="1">
      <c r="A4" t="s" s="11">
        <v>23</v>
      </c>
      <c r="B4" s="12"/>
      <c r="C4" s="13"/>
      <c r="D4" s="13"/>
      <c r="E4" s="13">
        <v>44722.765972222223</v>
      </c>
      <c r="F4" s="13"/>
      <c r="G4" s="13"/>
      <c r="H4" s="13"/>
      <c r="I4" s="13"/>
      <c r="J4" s="14"/>
      <c r="K4" s="15"/>
      <c r="L4" s="16"/>
      <c r="M4" s="16"/>
      <c r="N4" s="16"/>
      <c r="O4" s="16"/>
      <c r="P4" s="16"/>
      <c r="Q4" s="14">
        <f>N4*18</f>
        <v>0</v>
      </c>
      <c r="R4" s="16"/>
      <c r="S4" s="16"/>
      <c r="T4" s="16"/>
      <c r="U4" s="16"/>
      <c r="V4" s="16"/>
      <c r="W4" s="16"/>
      <c r="X4" s="16"/>
      <c r="Y4" s="16"/>
    </row>
    <row r="5" ht="32.05" customHeight="1">
      <c r="A5" t="s" s="11">
        <v>24</v>
      </c>
      <c r="B5" s="17"/>
      <c r="C5" s="16"/>
      <c r="D5" s="16"/>
      <c r="E5" s="13">
        <f>E4+J5</f>
        <v>44722.765972222223</v>
      </c>
      <c r="F5" s="16"/>
      <c r="G5" s="16"/>
      <c r="H5" s="16"/>
      <c r="I5" s="16"/>
      <c r="J5" s="14"/>
      <c r="K5" s="14">
        <v>0</v>
      </c>
      <c r="L5" s="16"/>
      <c r="M5" s="14">
        <f>M4+L5</f>
        <v>0</v>
      </c>
      <c r="N5" s="16"/>
      <c r="O5" s="16"/>
      <c r="P5" s="14">
        <f>N5+P4</f>
        <v>0</v>
      </c>
      <c r="Q5" s="14">
        <f>N5*18</f>
        <v>0</v>
      </c>
      <c r="R5" s="18">
        <f>(Q5+R4)</f>
        <v>0</v>
      </c>
      <c r="S5" s="19"/>
      <c r="T5" s="20"/>
      <c r="U5" s="20"/>
      <c r="V5" s="20"/>
      <c r="W5" s="20"/>
      <c r="X5" s="20"/>
      <c r="Y5" s="20"/>
    </row>
    <row r="6" ht="32.05" customHeight="1">
      <c r="A6" t="s" s="11">
        <v>25</v>
      </c>
      <c r="B6" s="12"/>
      <c r="C6" s="13"/>
      <c r="D6" s="13"/>
      <c r="E6" s="13">
        <v>44722.783333333333</v>
      </c>
      <c r="F6" s="13"/>
      <c r="G6" s="13"/>
      <c r="H6" s="13"/>
      <c r="I6" s="13"/>
      <c r="J6" s="21">
        <f>E6-E5</f>
        <v>0.01736111111111111</v>
      </c>
      <c r="K6" s="16">
        <f>J6</f>
        <v>0.01736111111111111</v>
      </c>
      <c r="L6" s="14">
        <v>5</v>
      </c>
      <c r="M6" s="14">
        <f>M5+L6</f>
        <v>5</v>
      </c>
      <c r="N6" s="14">
        <v>19.8</v>
      </c>
      <c r="O6" s="14">
        <v>48</v>
      </c>
      <c r="P6" s="14">
        <f>N6+P4</f>
        <v>19.8</v>
      </c>
      <c r="Q6" s="14">
        <f>N6*18</f>
        <v>356.4</v>
      </c>
      <c r="R6" s="18">
        <f>R5+(Q6/1000)</f>
        <v>0.3564</v>
      </c>
      <c r="S6" s="19">
        <v>0.2113</v>
      </c>
      <c r="T6" s="20">
        <v>5.53</v>
      </c>
      <c r="U6" s="20">
        <f>T6</f>
        <v>5.53</v>
      </c>
      <c r="V6" s="20">
        <f>T6/N6</f>
        <v>0.279292929292929</v>
      </c>
      <c r="W6" s="20"/>
      <c r="X6" s="20"/>
      <c r="Y6" s="20"/>
    </row>
    <row r="7" ht="20.05" customHeight="1">
      <c r="A7" t="s" s="11">
        <v>26</v>
      </c>
      <c r="B7" s="12"/>
      <c r="C7" s="13"/>
      <c r="D7" s="13"/>
      <c r="E7" s="13">
        <v>44722.915972222225</v>
      </c>
      <c r="F7" s="13"/>
      <c r="G7" s="13"/>
      <c r="H7" s="13"/>
      <c r="I7" s="13"/>
      <c r="J7" s="14">
        <v>0</v>
      </c>
      <c r="K7" s="16">
        <f>K6+J7</f>
        <v>0.01736111111111111</v>
      </c>
      <c r="L7" s="14">
        <v>198</v>
      </c>
      <c r="M7" s="14">
        <f>M6+L7</f>
        <v>203</v>
      </c>
      <c r="N7" s="16"/>
      <c r="O7" s="16"/>
      <c r="P7" s="14">
        <f>N7+P6</f>
        <v>19.8</v>
      </c>
      <c r="Q7" s="14">
        <f>N7*18</f>
        <v>0</v>
      </c>
      <c r="R7" s="18">
        <f>R6+(Q7/1000)</f>
        <v>0.3564</v>
      </c>
      <c r="S7" s="16"/>
      <c r="T7" s="16"/>
      <c r="U7" s="20">
        <f>U6+T7</f>
        <v>5.53</v>
      </c>
      <c r="V7" s="20">
        <v>0</v>
      </c>
      <c r="W7" s="16"/>
      <c r="X7" s="16"/>
      <c r="Y7" s="16"/>
    </row>
    <row r="8" ht="20.05" customHeight="1">
      <c r="A8" t="s" s="11">
        <v>27</v>
      </c>
      <c r="B8" s="12"/>
      <c r="C8" s="13"/>
      <c r="D8" s="13"/>
      <c r="E8" s="13">
        <v>44723.445833333331</v>
      </c>
      <c r="F8" s="13"/>
      <c r="G8" s="13"/>
      <c r="H8" s="13"/>
      <c r="I8" s="13"/>
      <c r="J8" s="22">
        <v>0.03684027777777778</v>
      </c>
      <c r="K8" s="16">
        <f>K7+J8</f>
        <v>0.05420138888888889</v>
      </c>
      <c r="L8" s="14">
        <v>12</v>
      </c>
      <c r="M8" s="14">
        <f>M7+L8</f>
        <v>215</v>
      </c>
      <c r="N8" s="14">
        <v>40.8</v>
      </c>
      <c r="O8" s="14">
        <v>49</v>
      </c>
      <c r="P8" s="14">
        <f>N8+P7</f>
        <v>60.6</v>
      </c>
      <c r="Q8" s="14">
        <f>N8*18</f>
        <v>734.4</v>
      </c>
      <c r="R8" s="18">
        <f>R7+(Q8/1000)</f>
        <v>1.0908</v>
      </c>
      <c r="S8" s="19">
        <v>0.2113</v>
      </c>
      <c r="T8" s="20">
        <v>11.54</v>
      </c>
      <c r="U8" s="20">
        <f>U7+T8</f>
        <v>17.07</v>
      </c>
      <c r="V8" s="20">
        <f>T8/N8</f>
        <v>0.282843137254902</v>
      </c>
      <c r="W8" s="16"/>
      <c r="X8" s="16"/>
      <c r="Y8" s="16"/>
    </row>
    <row r="9" ht="20.05" customHeight="1">
      <c r="A9" t="s" s="11">
        <v>28</v>
      </c>
      <c r="B9" s="12"/>
      <c r="C9" s="13"/>
      <c r="D9" s="13"/>
      <c r="E9" s="13">
        <v>44723.541666666664</v>
      </c>
      <c r="F9" s="13"/>
      <c r="G9" s="13"/>
      <c r="H9" s="13"/>
      <c r="I9" s="13"/>
      <c r="J9" s="14"/>
      <c r="K9" s="16">
        <f>K8+J9</f>
        <v>0.05420138888888889</v>
      </c>
      <c r="L9" s="14">
        <v>11</v>
      </c>
      <c r="M9" s="14">
        <f>M8+L9</f>
        <v>226</v>
      </c>
      <c r="N9" s="16"/>
      <c r="O9" s="16"/>
      <c r="P9" s="14">
        <f>N9+P8</f>
        <v>60.6</v>
      </c>
      <c r="Q9" s="14">
        <f>N9*18</f>
        <v>0</v>
      </c>
      <c r="R9" s="18">
        <f>R8+(Q9/1000)</f>
        <v>1.0908</v>
      </c>
      <c r="S9" s="19"/>
      <c r="T9" s="19"/>
      <c r="U9" s="20">
        <f>U8+T9</f>
        <v>17.07</v>
      </c>
      <c r="V9" s="20">
        <v>0</v>
      </c>
      <c r="W9" s="16"/>
      <c r="X9" s="16"/>
      <c r="Y9" s="16"/>
    </row>
    <row r="10" ht="20.05" customHeight="1">
      <c r="A10" t="s" s="11">
        <v>29</v>
      </c>
      <c r="B10" s="12"/>
      <c r="C10" s="13"/>
      <c r="D10" s="13"/>
      <c r="E10" s="13">
        <v>44723.75</v>
      </c>
      <c r="F10" s="13"/>
      <c r="G10" s="13"/>
      <c r="H10" s="13"/>
      <c r="I10" s="13"/>
      <c r="J10" s="14"/>
      <c r="K10" s="16">
        <f>K9+J10</f>
        <v>0.05420138888888889</v>
      </c>
      <c r="L10" s="14">
        <v>13</v>
      </c>
      <c r="M10" s="14">
        <f>M9+L10</f>
        <v>239</v>
      </c>
      <c r="N10" s="16"/>
      <c r="O10" s="16"/>
      <c r="P10" s="14">
        <f>N10+P9</f>
        <v>60.6</v>
      </c>
      <c r="Q10" s="14">
        <f>N10*18</f>
        <v>0</v>
      </c>
      <c r="R10" s="18">
        <f>R9+(Q10/1000)</f>
        <v>1.0908</v>
      </c>
      <c r="S10" s="16"/>
      <c r="T10" s="16"/>
      <c r="U10" s="20">
        <f>U9+T10</f>
        <v>17.07</v>
      </c>
      <c r="V10" s="20">
        <v>9</v>
      </c>
      <c r="W10" s="16"/>
      <c r="X10" s="16"/>
      <c r="Y10" s="16"/>
    </row>
    <row r="11" ht="32.05" customHeight="1">
      <c r="A11" t="s" s="11">
        <v>30</v>
      </c>
      <c r="B11" s="12"/>
      <c r="C11" s="13"/>
      <c r="D11" s="13"/>
      <c r="E11" s="13">
        <v>44724.595833333333</v>
      </c>
      <c r="F11" s="13"/>
      <c r="G11" s="13"/>
      <c r="H11" s="13"/>
      <c r="I11" s="13"/>
      <c r="J11" s="14"/>
      <c r="K11" s="16">
        <f>K10+J11</f>
        <v>0.05420138888888889</v>
      </c>
      <c r="L11" s="14">
        <v>110</v>
      </c>
      <c r="M11" s="14">
        <f>M10+L11</f>
        <v>349</v>
      </c>
      <c r="N11" s="16"/>
      <c r="O11" s="16"/>
      <c r="P11" s="14">
        <f>N11+P10</f>
        <v>60.6</v>
      </c>
      <c r="Q11" s="14">
        <f>N11*18</f>
        <v>0</v>
      </c>
      <c r="R11" s="18">
        <f>R10+(Q11/1000)</f>
        <v>1.0908</v>
      </c>
      <c r="S11" s="16"/>
      <c r="T11" s="16"/>
      <c r="U11" s="20">
        <f>U10+T11</f>
        <v>17.07</v>
      </c>
      <c r="V11" s="20">
        <v>0</v>
      </c>
      <c r="W11" s="16"/>
      <c r="X11" s="16"/>
      <c r="Y11" s="16"/>
    </row>
    <row r="12" ht="44.05" customHeight="1">
      <c r="A12" t="s" s="11">
        <v>31</v>
      </c>
      <c r="B12" s="12"/>
      <c r="C12" s="13"/>
      <c r="D12" s="13"/>
      <c r="E12" s="13">
        <v>44724.595833333333</v>
      </c>
      <c r="F12" s="13"/>
      <c r="G12" s="13"/>
      <c r="H12" s="13"/>
      <c r="I12" s="13"/>
      <c r="J12" s="22">
        <v>0.01574074074074074</v>
      </c>
      <c r="K12" s="16">
        <f>K11+J12</f>
        <v>0.06994212962962963</v>
      </c>
      <c r="L12" s="16"/>
      <c r="M12" s="14">
        <f>M11+L12</f>
        <v>349</v>
      </c>
      <c r="N12" s="14">
        <v>23</v>
      </c>
      <c r="O12" s="14">
        <v>84</v>
      </c>
      <c r="P12" s="14">
        <f>N12+P11</f>
        <v>83.59999999999999</v>
      </c>
      <c r="Q12" s="14">
        <f>N12*18</f>
        <v>414</v>
      </c>
      <c r="R12" s="18">
        <f>R11+(Q12/1000)</f>
        <v>1.5048</v>
      </c>
      <c r="S12" s="19">
        <v>0.27</v>
      </c>
      <c r="T12" s="20">
        <v>6.81</v>
      </c>
      <c r="U12" s="20">
        <f>U11+T12</f>
        <v>23.88</v>
      </c>
      <c r="V12" s="20">
        <f>T12/N12</f>
        <v>0.296086956521739</v>
      </c>
      <c r="W12" s="16"/>
      <c r="X12" s="16"/>
      <c r="Y12" s="16"/>
    </row>
    <row r="13" ht="32.05" customHeight="1">
      <c r="A13" t="s" s="11">
        <v>32</v>
      </c>
      <c r="B13" s="12"/>
      <c r="C13" s="13"/>
      <c r="D13" s="13"/>
      <c r="E13" s="13">
        <v>44724.6375</v>
      </c>
      <c r="F13" s="13"/>
      <c r="G13" s="13"/>
      <c r="H13" s="13"/>
      <c r="I13" s="13"/>
      <c r="J13" s="14"/>
      <c r="K13" s="16">
        <f>K12+J13</f>
        <v>0.06994212962962963</v>
      </c>
      <c r="L13" s="14">
        <v>58</v>
      </c>
      <c r="M13" s="14">
        <f t="shared" si="54" ref="M13:U13">0</f>
        <v>0</v>
      </c>
      <c r="N13" s="16"/>
      <c r="O13" s="16"/>
      <c r="P13" s="14">
        <f t="shared" si="54"/>
        <v>0</v>
      </c>
      <c r="Q13" s="14">
        <f>N13*18</f>
        <v>0</v>
      </c>
      <c r="R13" s="18">
        <f t="shared" si="54"/>
        <v>0</v>
      </c>
      <c r="S13" s="19"/>
      <c r="T13" s="20"/>
      <c r="U13" s="20">
        <f t="shared" si="54"/>
        <v>0</v>
      </c>
      <c r="V13" s="20">
        <v>0</v>
      </c>
      <c r="W13" s="16"/>
      <c r="X13" s="16"/>
      <c r="Y13" s="16"/>
    </row>
    <row r="14" ht="32.05" customHeight="1">
      <c r="A14" t="s" s="11">
        <v>33</v>
      </c>
      <c r="B14" s="12"/>
      <c r="C14" s="13"/>
      <c r="D14" s="13"/>
      <c r="E14" s="13">
        <v>44724.595833333333</v>
      </c>
      <c r="F14" s="13"/>
      <c r="G14" s="13"/>
      <c r="H14" s="13"/>
      <c r="I14" s="13"/>
      <c r="J14" s="21">
        <v>0.04027777777777778</v>
      </c>
      <c r="K14" s="16">
        <f>K13+J14</f>
        <v>0.1102199074074074</v>
      </c>
      <c r="L14" s="16"/>
      <c r="M14" s="14">
        <f>M13+L14</f>
        <v>0</v>
      </c>
      <c r="N14" s="14">
        <v>24.2</v>
      </c>
      <c r="O14" s="16"/>
      <c r="P14" s="14">
        <f>N14+P13</f>
        <v>24.2</v>
      </c>
      <c r="Q14" s="14">
        <f>N14*18</f>
        <v>435.6</v>
      </c>
      <c r="R14" s="18">
        <f>R13+(Q14/1000)</f>
        <v>0.4356</v>
      </c>
      <c r="S14" s="19">
        <v>0.1431</v>
      </c>
      <c r="T14" s="20">
        <v>3.46302</v>
      </c>
      <c r="U14" s="20">
        <f>U13+T14</f>
        <v>3.46302</v>
      </c>
      <c r="V14" s="20">
        <f>T14/N14</f>
        <v>0.1431</v>
      </c>
      <c r="W14" s="16"/>
      <c r="X14" s="16"/>
      <c r="Y14" s="16"/>
    </row>
    <row r="15" ht="32.05" customHeight="1">
      <c r="A15" t="s" s="11">
        <v>32</v>
      </c>
      <c r="B15" s="23"/>
      <c r="C15" s="24"/>
      <c r="D15" s="24"/>
      <c r="E15" s="24"/>
      <c r="F15" s="24">
        <v>44747.728275462963</v>
      </c>
      <c r="G15" s="14">
        <v>73747</v>
      </c>
      <c r="H15" s="25">
        <v>0.6</v>
      </c>
      <c r="I15" s="16"/>
      <c r="J15" s="14"/>
      <c r="K15" s="16">
        <f>K14+J15</f>
        <v>0.1102199074074074</v>
      </c>
      <c r="L15" s="14">
        <v>0</v>
      </c>
      <c r="M15" s="14">
        <f>M14+L15</f>
        <v>0</v>
      </c>
      <c r="N15" s="16"/>
      <c r="O15" s="16"/>
      <c r="P15" s="14">
        <f>N15+P14</f>
        <v>24.2</v>
      </c>
      <c r="Q15" s="14">
        <f>N15*18</f>
        <v>0</v>
      </c>
      <c r="R15" s="18">
        <f>R14+(Q15/1000)</f>
        <v>0.4356</v>
      </c>
      <c r="S15" s="16"/>
      <c r="T15" s="16"/>
      <c r="U15" s="20">
        <f>U14+T15</f>
        <v>3.46302</v>
      </c>
      <c r="V15" s="20">
        <v>0</v>
      </c>
      <c r="W15" s="16"/>
      <c r="X15" s="16"/>
      <c r="Y15" s="16"/>
    </row>
    <row r="16" ht="32.05" customHeight="1">
      <c r="A16" t="s" s="11">
        <v>34</v>
      </c>
      <c r="B16" s="17"/>
      <c r="C16" s="16"/>
      <c r="D16" s="16"/>
      <c r="E16" s="26">
        <v>44747.797222222223</v>
      </c>
      <c r="F16" s="16"/>
      <c r="G16" s="14">
        <v>73840</v>
      </c>
      <c r="H16" s="25">
        <v>0.4</v>
      </c>
      <c r="I16" s="16"/>
      <c r="J16" s="14"/>
      <c r="K16" s="16">
        <f>K15+J16</f>
        <v>0.1102199074074074</v>
      </c>
      <c r="L16" s="14">
        <f>G16-G15</f>
        <v>93</v>
      </c>
      <c r="M16" s="14">
        <f>M15+L16</f>
        <v>93</v>
      </c>
      <c r="N16" s="27"/>
      <c r="O16" s="27"/>
      <c r="P16" s="27">
        <f>N16+P15</f>
        <v>24.2</v>
      </c>
      <c r="Q16" s="27">
        <f>N16*18</f>
        <v>0</v>
      </c>
      <c r="R16" s="18">
        <f>R15+(Q16/1000)</f>
        <v>0.4356</v>
      </c>
      <c r="S16" s="16"/>
      <c r="T16" s="16"/>
      <c r="U16" s="20">
        <f>U15+T16</f>
        <v>3.46302</v>
      </c>
      <c r="V16" s="20">
        <v>0</v>
      </c>
      <c r="W16" s="16"/>
      <c r="X16" s="16"/>
      <c r="Y16" s="16"/>
    </row>
    <row r="17" ht="32.05" customHeight="1">
      <c r="A17" t="s" s="11">
        <v>34</v>
      </c>
      <c r="B17" s="17"/>
      <c r="C17" s="16"/>
      <c r="D17" s="16"/>
      <c r="E17" s="16"/>
      <c r="F17" s="26">
        <v>44747.804861111108</v>
      </c>
      <c r="G17" s="14">
        <v>73840</v>
      </c>
      <c r="H17" s="25">
        <v>0.5</v>
      </c>
      <c r="I17" s="16"/>
      <c r="J17" s="22">
        <v>0.007442129629629629</v>
      </c>
      <c r="K17" s="16">
        <f>K16+J17</f>
        <v>0.117662037037037</v>
      </c>
      <c r="L17" s="14">
        <f>G17-G16</f>
        <v>0</v>
      </c>
      <c r="M17" s="14">
        <f>M16+L17</f>
        <v>93</v>
      </c>
      <c r="N17" s="27">
        <v>8.1</v>
      </c>
      <c r="O17" s="27">
        <v>40</v>
      </c>
      <c r="P17" s="27">
        <f>N17+P16</f>
        <v>32.3</v>
      </c>
      <c r="Q17" s="27">
        <f>N17*18</f>
        <v>145.8</v>
      </c>
      <c r="R17" s="18">
        <f>R16+(Q17/1000)</f>
        <v>0.5814</v>
      </c>
      <c r="S17" s="19">
        <v>0.2113</v>
      </c>
      <c r="T17" s="20">
        <v>2.32</v>
      </c>
      <c r="U17" s="20">
        <f>U16+T17</f>
        <v>5.78302</v>
      </c>
      <c r="V17" s="20">
        <f>T17/N17</f>
        <v>0.28641975308642</v>
      </c>
      <c r="W17" s="16"/>
      <c r="X17" s="16"/>
      <c r="Y17" s="16"/>
    </row>
    <row r="18" ht="20.05" customHeight="1">
      <c r="A18" t="s" s="11">
        <v>35</v>
      </c>
      <c r="B18" s="17"/>
      <c r="C18" s="16"/>
      <c r="D18" s="16"/>
      <c r="E18" s="26">
        <v>44747.804861111108</v>
      </c>
      <c r="F18" s="26">
        <v>44747.846527777780</v>
      </c>
      <c r="G18" s="14">
        <v>73856</v>
      </c>
      <c r="H18" s="16"/>
      <c r="I18" s="16"/>
      <c r="J18" s="14"/>
      <c r="K18" s="16">
        <f>K17+J18</f>
        <v>0.117662037037037</v>
      </c>
      <c r="L18" s="14">
        <f>G18-G17</f>
        <v>16</v>
      </c>
      <c r="M18" s="14">
        <f>M17+L18</f>
        <v>109</v>
      </c>
      <c r="N18" s="27"/>
      <c r="O18" s="27"/>
      <c r="P18" s="27">
        <f>N18+P17</f>
        <v>32.3</v>
      </c>
      <c r="Q18" s="27">
        <f>N18*18</f>
        <v>0</v>
      </c>
      <c r="R18" s="18">
        <f>R17+(Q18/1000)</f>
        <v>0.5814</v>
      </c>
      <c r="S18" s="19">
        <v>0</v>
      </c>
      <c r="T18" s="20">
        <v>0</v>
      </c>
      <c r="U18" s="20">
        <f>U17+T18</f>
        <v>5.78302</v>
      </c>
      <c r="V18" s="20">
        <v>0</v>
      </c>
      <c r="W18" s="16"/>
      <c r="X18" s="16"/>
      <c r="Y18" s="16"/>
    </row>
    <row r="19" ht="32.05" customHeight="1">
      <c r="A19" t="s" s="11">
        <v>32</v>
      </c>
      <c r="B19" s="17"/>
      <c r="C19" s="16"/>
      <c r="D19" s="16"/>
      <c r="E19" s="26">
        <v>44747.918055555558</v>
      </c>
      <c r="F19" s="16"/>
      <c r="G19" s="14">
        <v>73965</v>
      </c>
      <c r="H19" s="28">
        <v>0.23</v>
      </c>
      <c r="I19" s="16"/>
      <c r="J19" s="14"/>
      <c r="K19" s="16">
        <f>K18+J19</f>
        <v>0.117662037037037</v>
      </c>
      <c r="L19" s="14">
        <f>G19-G18</f>
        <v>109</v>
      </c>
      <c r="M19" s="14">
        <f>M18+L19</f>
        <v>218</v>
      </c>
      <c r="N19" s="27"/>
      <c r="O19" s="27"/>
      <c r="P19" s="27">
        <f>N19+P18</f>
        <v>32.3</v>
      </c>
      <c r="Q19" s="27">
        <f>N19*18</f>
        <v>0</v>
      </c>
      <c r="R19" s="18">
        <f>R18+(Q19/1000)</f>
        <v>0.5814</v>
      </c>
      <c r="S19" s="19">
        <v>0</v>
      </c>
      <c r="T19" s="20">
        <v>0</v>
      </c>
      <c r="U19" s="20">
        <f>U18+T19</f>
        <v>5.78302</v>
      </c>
      <c r="V19" s="20">
        <v>0</v>
      </c>
      <c r="W19" s="16"/>
      <c r="X19" s="16"/>
      <c r="Y19" s="16"/>
    </row>
    <row r="20" ht="20.05" customHeight="1">
      <c r="A20" t="s" s="11">
        <v>36</v>
      </c>
      <c r="B20" s="17"/>
      <c r="C20" s="16"/>
      <c r="D20" s="16"/>
      <c r="E20" s="29">
        <v>44752.328275462962</v>
      </c>
      <c r="F20" s="29">
        <v>44753.560706018521</v>
      </c>
      <c r="G20" s="14">
        <v>74213</v>
      </c>
      <c r="H20" s="25">
        <v>0.7</v>
      </c>
      <c r="I20" s="16"/>
      <c r="J20" s="14"/>
      <c r="K20" s="16">
        <f>K19+J20</f>
        <v>0.117662037037037</v>
      </c>
      <c r="L20" s="16"/>
      <c r="M20" s="14">
        <f>M19+L20</f>
        <v>218</v>
      </c>
      <c r="N20" s="27">
        <v>30.1</v>
      </c>
      <c r="O20" s="27">
        <v>7.2</v>
      </c>
      <c r="P20" s="27">
        <f>N20+P19</f>
        <v>62.4</v>
      </c>
      <c r="Q20" s="27">
        <f>N20*18</f>
        <v>541.8</v>
      </c>
      <c r="R20" s="18">
        <f>R19+(Q20/1000)</f>
        <v>1.1232</v>
      </c>
      <c r="S20" s="19"/>
      <c r="T20" s="20"/>
      <c r="U20" s="20">
        <f>U19+T20</f>
        <v>5.78302</v>
      </c>
      <c r="V20" s="20">
        <f>T20/N20</f>
        <v>0</v>
      </c>
      <c r="W20" s="16"/>
      <c r="X20" s="16"/>
      <c r="Y20" s="16"/>
    </row>
    <row r="21" ht="20.05" customHeight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ht="20.05" customHeight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ht="20.05" customHeight="1">
      <c r="A23" t="s" s="11">
        <v>36</v>
      </c>
      <c r="B23" s="17"/>
      <c r="C23" t="s" s="33">
        <v>37</v>
      </c>
      <c r="D23" s="14">
        <v>7</v>
      </c>
      <c r="E23" s="16"/>
      <c r="F23" s="26">
        <v>44753.187997685185</v>
      </c>
      <c r="G23" s="14">
        <v>74240</v>
      </c>
      <c r="H23" s="16"/>
      <c r="I23" s="28">
        <v>1</v>
      </c>
      <c r="J23" s="14"/>
      <c r="K23" s="34">
        <f>J23</f>
        <v>0</v>
      </c>
      <c r="L23" s="16"/>
      <c r="M23" s="16"/>
      <c r="N23" s="27">
        <v>26</v>
      </c>
      <c r="O23" s="27">
        <v>7.2</v>
      </c>
      <c r="P23" s="27">
        <f>N23</f>
        <v>26</v>
      </c>
      <c r="Q23" s="27">
        <f>N23*18</f>
        <v>468</v>
      </c>
      <c r="R23" s="18">
        <f>R22+(Q23/1000)</f>
        <v>0.468</v>
      </c>
      <c r="S23" s="19">
        <v>0.1431</v>
      </c>
      <c r="T23" s="20">
        <f>S23*P23</f>
        <v>3.7206</v>
      </c>
      <c r="U23" s="20">
        <f>T23</f>
        <v>3.7206</v>
      </c>
      <c r="V23" s="20">
        <f>T23/N23</f>
        <v>0.1431</v>
      </c>
      <c r="W23" s="16"/>
      <c r="X23" s="16"/>
      <c r="Y23" s="16"/>
    </row>
    <row r="24" ht="20.05" customHeight="1">
      <c r="A24" t="s" s="11">
        <v>38</v>
      </c>
      <c r="B24" t="s" s="35">
        <v>39</v>
      </c>
      <c r="C24" t="s" s="33">
        <v>40</v>
      </c>
      <c r="D24" s="14">
        <v>150</v>
      </c>
      <c r="E24" s="29">
        <v>44753.4574074074</v>
      </c>
      <c r="F24" s="29">
        <v>44753.504444444443</v>
      </c>
      <c r="G24" s="14">
        <v>74501</v>
      </c>
      <c r="H24" s="28">
        <v>0.28</v>
      </c>
      <c r="I24" s="28">
        <v>0.95</v>
      </c>
      <c r="J24" s="34">
        <v>0.04791666666666667</v>
      </c>
      <c r="K24" s="34">
        <f>K23+J24</f>
        <v>0.04791666666666667</v>
      </c>
      <c r="L24" s="14">
        <f>G24-G23</f>
        <v>261</v>
      </c>
      <c r="M24" s="14">
        <f>G24-$G$23</f>
        <v>261</v>
      </c>
      <c r="N24" s="27">
        <v>48</v>
      </c>
      <c r="O24" s="27">
        <v>84</v>
      </c>
      <c r="P24" s="27">
        <f>N24+P23</f>
        <v>74</v>
      </c>
      <c r="Q24" t="s" s="33">
        <v>41</v>
      </c>
      <c r="R24" s="18"/>
      <c r="S24" s="19">
        <v>0</v>
      </c>
      <c r="T24" s="20">
        <v>0</v>
      </c>
      <c r="U24" s="20">
        <f>U23+T24</f>
        <v>3.7206</v>
      </c>
      <c r="V24" s="20">
        <f>T24/N24</f>
        <v>0</v>
      </c>
      <c r="W24" s="16"/>
      <c r="X24" s="16"/>
      <c r="Y24" s="16"/>
    </row>
    <row r="25" ht="32.05" customHeight="1">
      <c r="A25" t="s" s="11">
        <v>42</v>
      </c>
      <c r="B25" t="s" s="35">
        <v>39</v>
      </c>
      <c r="C25" t="s" s="33">
        <v>40</v>
      </c>
      <c r="D25" s="14">
        <v>150</v>
      </c>
      <c r="E25" s="29">
        <v>44753.761793981481</v>
      </c>
      <c r="F25" s="29">
        <v>44753.782858796294</v>
      </c>
      <c r="G25" s="14">
        <v>74562</v>
      </c>
      <c r="H25" s="28">
        <v>0.64</v>
      </c>
      <c r="I25" s="28">
        <v>0.78</v>
      </c>
      <c r="J25" s="22">
        <v>0.0212037037037037</v>
      </c>
      <c r="K25" s="15">
        <f>K24+J25</f>
        <v>0.06912037037037037</v>
      </c>
      <c r="L25" s="14">
        <f>G25-G24</f>
        <v>61</v>
      </c>
      <c r="M25" s="14">
        <f>G25-$G$23</f>
        <v>322</v>
      </c>
      <c r="N25" s="27">
        <v>32</v>
      </c>
      <c r="O25" s="27">
        <v>84</v>
      </c>
      <c r="P25" s="27">
        <f>N25+P24</f>
        <v>106</v>
      </c>
      <c r="Q25" s="27">
        <f>N25*18</f>
        <v>576</v>
      </c>
      <c r="R25" s="18">
        <f>R23+(Q25/1000)</f>
        <v>1.044</v>
      </c>
      <c r="S25" s="19">
        <v>0.21</v>
      </c>
      <c r="T25" s="20">
        <v>7.18</v>
      </c>
      <c r="U25" s="20">
        <f>U24+T25</f>
        <v>10.9006</v>
      </c>
      <c r="V25" s="20">
        <f>T25/N25</f>
        <v>0.224375</v>
      </c>
      <c r="W25" s="16"/>
      <c r="X25" s="16"/>
      <c r="Y25" s="16"/>
    </row>
    <row r="26" ht="20.05" customHeight="1">
      <c r="A26" t="s" s="11">
        <v>43</v>
      </c>
      <c r="B26" t="s" s="35">
        <v>39</v>
      </c>
      <c r="C26" s="16"/>
      <c r="D26" s="16"/>
      <c r="E26" s="29">
        <v>44753.854247685187</v>
      </c>
      <c r="F26" s="29">
        <v>44754.3546412037</v>
      </c>
      <c r="G26" s="14">
        <v>74790</v>
      </c>
      <c r="H26" s="28">
        <v>0.63</v>
      </c>
      <c r="I26" s="28">
        <v>0.63</v>
      </c>
      <c r="J26" s="14"/>
      <c r="K26" s="16">
        <f>K25+J26</f>
        <v>0.06912037037037037</v>
      </c>
      <c r="L26" s="14">
        <f>G26-G25</f>
        <v>228</v>
      </c>
      <c r="M26" s="14">
        <f>G26-$G$23</f>
        <v>550</v>
      </c>
      <c r="N26" s="27">
        <v>0</v>
      </c>
      <c r="O26" s="27">
        <v>0</v>
      </c>
      <c r="P26" s="27">
        <f>N26+P25</f>
        <v>106</v>
      </c>
      <c r="Q26" s="27">
        <f>N26*18</f>
        <v>0</v>
      </c>
      <c r="R26" s="18">
        <f>R25+(Q26/1000)</f>
        <v>1.044</v>
      </c>
      <c r="S26" s="14">
        <v>0</v>
      </c>
      <c r="T26" s="14">
        <v>0</v>
      </c>
      <c r="U26" s="20">
        <f>U25+T26</f>
        <v>10.9006</v>
      </c>
      <c r="V26" s="20">
        <v>0</v>
      </c>
      <c r="W26" s="16"/>
      <c r="X26" s="16"/>
      <c r="Y26" s="16"/>
    </row>
    <row r="27" ht="20.05" customHeight="1">
      <c r="A27" t="s" s="11">
        <v>44</v>
      </c>
      <c r="B27" t="s" s="35">
        <v>39</v>
      </c>
      <c r="C27" t="s" s="33">
        <v>45</v>
      </c>
      <c r="D27" s="14">
        <v>50</v>
      </c>
      <c r="E27" s="29">
        <v>44754.399594907409</v>
      </c>
      <c r="F27" s="29">
        <v>44754.428217592591</v>
      </c>
      <c r="G27" s="14">
        <v>74825</v>
      </c>
      <c r="H27" s="28">
        <v>0.55</v>
      </c>
      <c r="I27" s="28">
        <v>1</v>
      </c>
      <c r="J27" s="15">
        <v>0.05173611111111111</v>
      </c>
      <c r="K27" s="15">
        <f>K26+J27</f>
        <v>0.1208564814814815</v>
      </c>
      <c r="L27" s="14">
        <f>G27-G26</f>
        <v>35</v>
      </c>
      <c r="M27" s="14">
        <f>G27-$G$23</f>
        <v>585</v>
      </c>
      <c r="N27" s="27">
        <v>33</v>
      </c>
      <c r="O27" s="27">
        <v>48</v>
      </c>
      <c r="P27" s="27">
        <f>N27+P26</f>
        <v>139</v>
      </c>
      <c r="Q27" s="27">
        <f>N27*18</f>
        <v>594</v>
      </c>
      <c r="R27" s="18">
        <f>R26+(Q27/1000)</f>
        <v>1.638</v>
      </c>
      <c r="S27" s="19">
        <v>0</v>
      </c>
      <c r="T27" s="20">
        <v>0</v>
      </c>
      <c r="U27" s="20">
        <f>U26+T27</f>
        <v>10.9006</v>
      </c>
      <c r="V27" s="20">
        <f>T27/N27</f>
        <v>0</v>
      </c>
      <c r="W27" s="16"/>
      <c r="X27" s="16"/>
      <c r="Y27" s="16"/>
    </row>
    <row r="28" ht="20.05" customHeight="1">
      <c r="A28" t="s" s="11">
        <v>46</v>
      </c>
      <c r="B28" t="s" s="35">
        <v>39</v>
      </c>
      <c r="C28" t="s" s="33">
        <v>45</v>
      </c>
      <c r="D28" s="14">
        <v>50</v>
      </c>
      <c r="E28" s="29">
        <v>44754.548055555555</v>
      </c>
      <c r="F28" s="29">
        <v>44754.559861111113</v>
      </c>
      <c r="G28" s="14">
        <v>74963</v>
      </c>
      <c r="H28" s="28">
        <v>0.75</v>
      </c>
      <c r="I28" s="25">
        <v>0.8</v>
      </c>
      <c r="J28" s="22">
        <v>0.011875</v>
      </c>
      <c r="K28" s="15">
        <f>K27+J28</f>
        <v>0.1327314814814815</v>
      </c>
      <c r="L28" s="14">
        <f>G28-G27</f>
        <v>138</v>
      </c>
      <c r="M28" s="14">
        <f>G28-$G$23</f>
        <v>723</v>
      </c>
      <c r="N28" s="27">
        <v>13.5</v>
      </c>
      <c r="O28" s="27">
        <v>49</v>
      </c>
      <c r="P28" s="27">
        <f>N28+P27</f>
        <v>152.5</v>
      </c>
      <c r="Q28" s="27">
        <f>N28*18</f>
        <v>243</v>
      </c>
      <c r="R28" s="18">
        <f>R27+(Q28/1000)</f>
        <v>1.881</v>
      </c>
      <c r="S28" s="19">
        <v>0.2113</v>
      </c>
      <c r="T28" s="20">
        <v>3.72</v>
      </c>
      <c r="U28" s="20">
        <f>U27+T28</f>
        <v>14.6206</v>
      </c>
      <c r="V28" s="20">
        <f>T28/N28</f>
        <v>0.275555555555556</v>
      </c>
      <c r="W28" s="16"/>
      <c r="X28" s="16"/>
      <c r="Y28" s="16"/>
    </row>
    <row r="29" ht="20.05" customHeight="1">
      <c r="A29" t="s" s="11">
        <v>47</v>
      </c>
      <c r="B29" t="s" s="35">
        <v>39</v>
      </c>
      <c r="C29" t="s" s="33">
        <v>45</v>
      </c>
      <c r="D29" s="14">
        <v>25</v>
      </c>
      <c r="E29" s="29">
        <v>44754.633483796293</v>
      </c>
      <c r="F29" s="29">
        <v>44754.698067129626</v>
      </c>
      <c r="G29" s="14">
        <v>75089</v>
      </c>
      <c r="H29" s="28">
        <v>0.44</v>
      </c>
      <c r="I29" s="25">
        <v>0.5</v>
      </c>
      <c r="J29" s="34">
        <v>0.0625</v>
      </c>
      <c r="K29" s="15">
        <f>K28+J29</f>
        <v>0.1952314814814815</v>
      </c>
      <c r="L29" s="14">
        <f>G29-G28</f>
        <v>126</v>
      </c>
      <c r="M29" s="14">
        <f>G29-$G$23</f>
        <v>849</v>
      </c>
      <c r="N29" s="27">
        <v>8</v>
      </c>
      <c r="O29" s="27">
        <v>6.8</v>
      </c>
      <c r="P29" s="27">
        <f>N29+P28</f>
        <v>160.5</v>
      </c>
      <c r="Q29" s="27">
        <f>N29*18</f>
        <v>144</v>
      </c>
      <c r="R29" s="18">
        <f>R28+(Q29/1000)</f>
        <v>2.025</v>
      </c>
      <c r="S29" s="19">
        <v>0</v>
      </c>
      <c r="T29" s="20">
        <v>0</v>
      </c>
      <c r="U29" s="20">
        <f>U28+T29</f>
        <v>14.6206</v>
      </c>
      <c r="V29" s="20">
        <f>T29/N29</f>
        <v>0</v>
      </c>
      <c r="W29" s="16"/>
      <c r="X29" s="16"/>
      <c r="Y29" s="16"/>
    </row>
    <row r="30" ht="20.05" customHeight="1">
      <c r="A30" t="s" s="11">
        <v>48</v>
      </c>
      <c r="B30" t="s" s="35">
        <v>39</v>
      </c>
      <c r="C30" t="s" s="33">
        <v>49</v>
      </c>
      <c r="D30" s="14">
        <v>50</v>
      </c>
      <c r="E30" s="36">
        <v>44754.740277777775</v>
      </c>
      <c r="F30" s="36">
        <v>44754.75625</v>
      </c>
      <c r="G30" s="14">
        <v>75181</v>
      </c>
      <c r="H30" s="28">
        <v>0.21</v>
      </c>
      <c r="I30" s="28">
        <v>0.51</v>
      </c>
      <c r="J30" s="22">
        <v>0.01556712962962963</v>
      </c>
      <c r="K30" s="15">
        <f>K29+J30</f>
        <v>0.2107986111111111</v>
      </c>
      <c r="L30" s="14">
        <f>G30-G29</f>
        <v>92</v>
      </c>
      <c r="M30" s="14">
        <f>G30-$G$23</f>
        <v>941</v>
      </c>
      <c r="N30" s="27">
        <v>16.7</v>
      </c>
      <c r="O30" s="27">
        <v>48</v>
      </c>
      <c r="P30" s="27">
        <f>N30+P29</f>
        <v>177.2</v>
      </c>
      <c r="Q30" s="27">
        <f>N30*630</f>
        <v>10521</v>
      </c>
      <c r="R30" s="18">
        <f>R29+(Q30/1000)</f>
        <v>12.546</v>
      </c>
      <c r="S30" s="19">
        <v>0.25</v>
      </c>
      <c r="T30" s="20">
        <v>5.6</v>
      </c>
      <c r="U30" s="20">
        <f>U29+T30</f>
        <v>20.2206</v>
      </c>
      <c r="V30" s="20">
        <f>T30/N30</f>
        <v>0.335329341317365</v>
      </c>
      <c r="W30" s="16"/>
      <c r="X30" s="16"/>
      <c r="Y30" s="16"/>
    </row>
    <row r="31" ht="20.05" customHeight="1">
      <c r="A31" t="s" s="11">
        <v>50</v>
      </c>
      <c r="B31" t="s" s="35">
        <v>39</v>
      </c>
      <c r="C31" t="s" s="33">
        <v>49</v>
      </c>
      <c r="D31" s="14">
        <v>50</v>
      </c>
      <c r="E31" s="29">
        <v>44754.780416666668</v>
      </c>
      <c r="F31" s="29">
        <v>44754.824166666665</v>
      </c>
      <c r="G31" s="14">
        <v>75181</v>
      </c>
      <c r="H31" s="28">
        <v>0.51</v>
      </c>
      <c r="I31" s="28">
        <v>0.98</v>
      </c>
      <c r="J31" s="34">
        <v>0.05</v>
      </c>
      <c r="K31" s="15">
        <f>K30+J31</f>
        <v>0.2607986111111111</v>
      </c>
      <c r="L31" s="14">
        <f>G31-G30</f>
        <v>0</v>
      </c>
      <c r="M31" s="14">
        <f>G31-$G$23</f>
        <v>941</v>
      </c>
      <c r="N31" s="27">
        <v>36.4</v>
      </c>
      <c r="O31" s="27">
        <v>48</v>
      </c>
      <c r="P31" s="27">
        <f>N31+P30</f>
        <v>213.6</v>
      </c>
      <c r="Q31" s="27">
        <f>N31*630</f>
        <v>22932</v>
      </c>
      <c r="R31" s="18">
        <f>R30+(Q31/1000)</f>
        <v>35.478</v>
      </c>
      <c r="S31" s="19">
        <v>0.25</v>
      </c>
      <c r="T31" s="20">
        <v>18.11</v>
      </c>
      <c r="U31" s="20">
        <f>U30+T31</f>
        <v>38.3306</v>
      </c>
      <c r="V31" s="20">
        <f>T31/N31</f>
        <v>0.497527472527473</v>
      </c>
      <c r="W31" s="16"/>
      <c r="X31" s="16"/>
      <c r="Y31" s="16"/>
    </row>
    <row r="32" ht="20.05" customHeight="1">
      <c r="A32" t="s" s="11">
        <v>51</v>
      </c>
      <c r="B32" s="17"/>
      <c r="C32" s="16"/>
      <c r="D32" s="16"/>
      <c r="E32" s="16"/>
      <c r="F32" s="16"/>
      <c r="G32" s="14">
        <v>75188</v>
      </c>
      <c r="H32" s="16"/>
      <c r="I32" s="16"/>
      <c r="J32" s="14"/>
      <c r="K32" s="16">
        <f>K31+J32</f>
        <v>0.2607986111111111</v>
      </c>
      <c r="L32" s="14">
        <f>G32-G31</f>
        <v>7</v>
      </c>
      <c r="M32" s="14">
        <f>G32-$G$23</f>
        <v>948</v>
      </c>
      <c r="N32" s="27">
        <v>0</v>
      </c>
      <c r="O32" s="27">
        <v>0</v>
      </c>
      <c r="P32" s="27">
        <f>N32+P31</f>
        <v>213.6</v>
      </c>
      <c r="Q32" s="27">
        <f>N32*630</f>
        <v>0</v>
      </c>
      <c r="R32" s="18">
        <f>R31+(Q32/1000)</f>
        <v>35.478</v>
      </c>
      <c r="S32" s="19">
        <v>0</v>
      </c>
      <c r="T32" s="20">
        <v>0</v>
      </c>
      <c r="U32" s="20">
        <f>U31+T32</f>
        <v>38.3306</v>
      </c>
      <c r="V32" s="20"/>
      <c r="W32" s="16"/>
      <c r="X32" s="16"/>
      <c r="Y32" s="16"/>
    </row>
    <row r="33" ht="20.05" customHeight="1">
      <c r="A33" t="s" s="11">
        <v>52</v>
      </c>
      <c r="B33" t="s" s="35">
        <v>39</v>
      </c>
      <c r="C33" t="s" s="33">
        <v>49</v>
      </c>
      <c r="D33" s="14">
        <v>50</v>
      </c>
      <c r="E33" s="29">
        <v>44755.884606481479</v>
      </c>
      <c r="F33" s="29">
        <v>44755.900706018518</v>
      </c>
      <c r="G33" s="14">
        <v>75418</v>
      </c>
      <c r="H33" s="28">
        <v>0.45</v>
      </c>
      <c r="I33" s="28">
        <v>1</v>
      </c>
      <c r="J33" s="16">
        <v>0.05694444444444444</v>
      </c>
      <c r="K33" s="16">
        <f>K32+J33</f>
        <v>0.3177430555555555</v>
      </c>
      <c r="L33" s="14">
        <f>G33-G32</f>
        <v>230</v>
      </c>
      <c r="M33" s="14">
        <f>G33-$G$23</f>
        <v>1178</v>
      </c>
      <c r="N33" s="27">
        <v>38.6</v>
      </c>
      <c r="O33" s="27">
        <v>48</v>
      </c>
      <c r="P33" s="27">
        <f>N33+P32</f>
        <v>252.2</v>
      </c>
      <c r="Q33" s="27">
        <f>N33*630</f>
        <v>24318</v>
      </c>
      <c r="R33" s="18">
        <f>R32+(Q33/1000)</f>
        <v>59.796</v>
      </c>
      <c r="S33" s="19">
        <v>0.25</v>
      </c>
      <c r="T33" s="20">
        <v>20.67</v>
      </c>
      <c r="U33" s="20">
        <f>U32+T33</f>
        <v>59.0006</v>
      </c>
      <c r="V33" s="20"/>
      <c r="W33" s="16"/>
      <c r="X33" s="16"/>
      <c r="Y33" s="16"/>
    </row>
    <row r="34" ht="32.05" customHeight="1">
      <c r="A34" t="s" s="11">
        <v>53</v>
      </c>
      <c r="B34" t="s" s="35">
        <v>39</v>
      </c>
      <c r="C34" t="s" s="33">
        <v>54</v>
      </c>
      <c r="D34" s="14">
        <v>7</v>
      </c>
      <c r="E34" s="29">
        <v>44756.372071759259</v>
      </c>
      <c r="F34" s="29">
        <v>44756.396377314813</v>
      </c>
      <c r="G34" s="14">
        <v>75654</v>
      </c>
      <c r="H34" s="28">
        <v>0.18</v>
      </c>
      <c r="I34" s="25">
        <v>0.2</v>
      </c>
      <c r="J34" s="16">
        <v>0.02083333333333333</v>
      </c>
      <c r="K34" s="16">
        <f>K33+J34</f>
        <v>0.3385763888888889</v>
      </c>
      <c r="L34" s="14">
        <f>G34-G33</f>
        <v>236</v>
      </c>
      <c r="M34" s="14">
        <f>G34-$G$23</f>
        <v>1414</v>
      </c>
      <c r="N34" s="27">
        <v>3</v>
      </c>
      <c r="O34" s="27">
        <v>6</v>
      </c>
      <c r="P34" s="27">
        <f>N34+P33</f>
        <v>255.2</v>
      </c>
      <c r="Q34" s="27">
        <f>N34*630</f>
        <v>1890</v>
      </c>
      <c r="R34" s="18">
        <f>R33+(Q34/1000)</f>
        <v>61.686</v>
      </c>
      <c r="S34" s="19">
        <v>0</v>
      </c>
      <c r="T34" s="20">
        <v>0</v>
      </c>
      <c r="U34" s="20">
        <f>U33+T34</f>
        <v>59.0006</v>
      </c>
      <c r="V34" s="20">
        <v>0</v>
      </c>
      <c r="W34" s="16"/>
      <c r="X34" s="16"/>
      <c r="Y34" s="16"/>
    </row>
    <row r="35" ht="44.05" customHeight="1">
      <c r="A35" t="s" s="11">
        <v>55</v>
      </c>
      <c r="B35" t="s" s="35">
        <v>39</v>
      </c>
      <c r="C35" t="s" s="33">
        <v>56</v>
      </c>
      <c r="D35" s="14">
        <v>7</v>
      </c>
      <c r="E35" s="29">
        <v>44756.403321759259</v>
      </c>
      <c r="F35" s="29">
        <v>44756.424849537034</v>
      </c>
      <c r="G35" s="14">
        <v>75658</v>
      </c>
      <c r="H35" s="25">
        <v>0.2</v>
      </c>
      <c r="I35" s="28">
        <v>0.35</v>
      </c>
      <c r="J35" s="16">
        <v>0.02083333333333333</v>
      </c>
      <c r="K35" s="16">
        <f>K34+J35</f>
        <v>0.3594097222222222</v>
      </c>
      <c r="L35" s="14">
        <f>G35-G34</f>
        <v>4</v>
      </c>
      <c r="M35" s="14">
        <f>G35-$G$23</f>
        <v>1418</v>
      </c>
      <c r="N35" s="27">
        <v>8</v>
      </c>
      <c r="O35" s="27">
        <v>8</v>
      </c>
      <c r="P35" s="27">
        <f>N35+P34</f>
        <v>263.2</v>
      </c>
      <c r="Q35" s="27">
        <f>N35*630</f>
        <v>5040</v>
      </c>
      <c r="R35" s="18">
        <f>R34+(Q35/1000)</f>
        <v>66.726</v>
      </c>
      <c r="S35" s="19">
        <v>0</v>
      </c>
      <c r="T35" s="20">
        <v>0</v>
      </c>
      <c r="U35" s="20">
        <f>U34+T35</f>
        <v>59.0006</v>
      </c>
      <c r="V35" s="20">
        <v>0</v>
      </c>
      <c r="W35" s="16"/>
      <c r="X35" s="16"/>
      <c r="Y35" s="16"/>
    </row>
    <row r="36" ht="32.05" customHeight="1">
      <c r="A36" t="s" s="11">
        <v>57</v>
      </c>
      <c r="B36" t="s" s="35">
        <v>39</v>
      </c>
      <c r="C36" t="s" s="33">
        <v>49</v>
      </c>
      <c r="D36" s="14">
        <v>50</v>
      </c>
      <c r="E36" s="29">
        <v>44756.473460648151</v>
      </c>
      <c r="F36" s="29">
        <v>44756.508877314816</v>
      </c>
      <c r="G36" s="14">
        <v>75737</v>
      </c>
      <c r="H36" s="28">
        <v>0.18</v>
      </c>
      <c r="I36" s="25">
        <v>0.8</v>
      </c>
      <c r="J36" s="16">
        <v>0.03541666666666667</v>
      </c>
      <c r="K36" s="16">
        <f>K35+J36</f>
        <v>0.3948263888888889</v>
      </c>
      <c r="L36" s="14">
        <f>G36-G35</f>
        <v>79</v>
      </c>
      <c r="M36" s="14">
        <f>G36-$G$23</f>
        <v>1497</v>
      </c>
      <c r="N36" s="27">
        <v>38.4</v>
      </c>
      <c r="O36" s="27">
        <v>45</v>
      </c>
      <c r="P36" s="27">
        <f>N36+P35</f>
        <v>301.6</v>
      </c>
      <c r="Q36" s="27">
        <f>N36*630</f>
        <v>24192</v>
      </c>
      <c r="R36" s="18">
        <f>R35+(Q36/1000)</f>
        <v>90.91800000000001</v>
      </c>
      <c r="S36" s="19">
        <v>0.34</v>
      </c>
      <c r="T36" s="20">
        <v>17.35</v>
      </c>
      <c r="U36" s="20">
        <f>U35+T36</f>
        <v>76.3506</v>
      </c>
      <c r="V36" s="20">
        <f>T36/N36</f>
        <v>0.451822916666667</v>
      </c>
      <c r="W36" s="16"/>
      <c r="X36" s="16"/>
      <c r="Y36" s="16"/>
    </row>
    <row r="37" ht="32.05" customHeight="1">
      <c r="A37" t="s" s="11">
        <v>58</v>
      </c>
      <c r="B37" t="s" s="35">
        <v>39</v>
      </c>
      <c r="C37" t="s" s="33">
        <v>49</v>
      </c>
      <c r="D37" s="14">
        <v>50</v>
      </c>
      <c r="E37" s="29">
        <v>44756.601238425923</v>
      </c>
      <c r="F37" s="29">
        <v>44756.635960648149</v>
      </c>
      <c r="G37" s="14">
        <v>75907</v>
      </c>
      <c r="H37" s="28">
        <v>0.44</v>
      </c>
      <c r="I37" s="25">
        <v>0.8</v>
      </c>
      <c r="J37" s="16">
        <v>0.03459490740740741</v>
      </c>
      <c r="K37" s="16">
        <f>K36+J37</f>
        <v>0.4294212962962963</v>
      </c>
      <c r="L37" s="14">
        <f>G37-G36</f>
        <v>170</v>
      </c>
      <c r="M37" s="14">
        <f>G37-$G$23</f>
        <v>1667</v>
      </c>
      <c r="N37" s="27">
        <v>33.7</v>
      </c>
      <c r="O37" s="27">
        <v>45</v>
      </c>
      <c r="P37" s="27">
        <f>N37+P36</f>
        <v>335.3</v>
      </c>
      <c r="Q37" s="27">
        <f>N37*630</f>
        <v>21231</v>
      </c>
      <c r="R37" s="18">
        <f>R36+(Q37/1000)</f>
        <v>112.149</v>
      </c>
      <c r="S37" s="19">
        <v>0.33</v>
      </c>
      <c r="T37" s="20">
        <v>16.6</v>
      </c>
      <c r="U37" s="20">
        <f>U36+T37</f>
        <v>92.95059999999999</v>
      </c>
      <c r="V37" s="20">
        <f>T37/N37</f>
        <v>0.492581602373887</v>
      </c>
      <c r="W37" s="16"/>
      <c r="X37" s="16"/>
      <c r="Y37" s="16"/>
    </row>
    <row r="38" ht="20.05" customHeight="1">
      <c r="A38" t="s" s="11">
        <v>59</v>
      </c>
      <c r="B38" t="s" s="35">
        <v>39</v>
      </c>
      <c r="C38" t="s" s="33">
        <v>49</v>
      </c>
      <c r="D38" s="14">
        <v>50</v>
      </c>
      <c r="E38" s="29">
        <v>44756.748460648145</v>
      </c>
      <c r="F38" s="29">
        <v>44756.783877314818</v>
      </c>
      <c r="G38" s="14">
        <v>76046</v>
      </c>
      <c r="H38" s="28">
        <v>0.28</v>
      </c>
      <c r="I38" s="25">
        <v>0.8</v>
      </c>
      <c r="J38" s="16">
        <v>0.03527777777777778</v>
      </c>
      <c r="K38" s="16">
        <f>K37+J38</f>
        <v>0.4646990740740741</v>
      </c>
      <c r="L38" s="14">
        <f>G38-G37</f>
        <v>139</v>
      </c>
      <c r="M38" s="14">
        <f>G38-$G$23</f>
        <v>1806</v>
      </c>
      <c r="N38" s="27">
        <v>37.7</v>
      </c>
      <c r="O38" s="27">
        <v>45</v>
      </c>
      <c r="P38" s="27">
        <f>N38+P37</f>
        <v>373</v>
      </c>
      <c r="Q38" s="27">
        <f>N38*630</f>
        <v>23751</v>
      </c>
      <c r="R38" s="18">
        <f>R37+(Q38/1000)</f>
        <v>135.9</v>
      </c>
      <c r="S38" s="19">
        <v>0.34</v>
      </c>
      <c r="T38" s="20">
        <v>17.27</v>
      </c>
      <c r="U38" s="20">
        <f>U37+T38</f>
        <v>110.2206</v>
      </c>
      <c r="V38" s="20">
        <f>T38/N38</f>
        <v>0.458090185676393</v>
      </c>
      <c r="W38" s="16"/>
      <c r="X38" s="16"/>
      <c r="Y38" s="16"/>
    </row>
    <row r="39" ht="32.05" customHeight="1">
      <c r="A39" t="s" s="11">
        <v>60</v>
      </c>
      <c r="B39" t="s" s="35">
        <v>39</v>
      </c>
      <c r="C39" t="s" s="33">
        <v>61</v>
      </c>
      <c r="D39" s="14">
        <v>150</v>
      </c>
      <c r="E39" s="29">
        <v>44756.748460648145</v>
      </c>
      <c r="F39" s="29">
        <v>44756.748460648145</v>
      </c>
      <c r="G39" s="14">
        <v>76153</v>
      </c>
      <c r="H39" s="28">
        <v>0.15</v>
      </c>
      <c r="I39" s="25">
        <v>0.8</v>
      </c>
      <c r="J39" s="16">
        <v>0.03472222222222222</v>
      </c>
      <c r="K39" s="16">
        <f>K38+J39</f>
        <v>0.4994212962962963</v>
      </c>
      <c r="L39" s="14">
        <f>G39-G38</f>
        <v>107</v>
      </c>
      <c r="M39" s="14">
        <f>G39-$G$23</f>
        <v>1913</v>
      </c>
      <c r="N39" s="27">
        <v>36</v>
      </c>
      <c r="O39" s="27">
        <v>12</v>
      </c>
      <c r="P39" s="27">
        <f>N39+P38</f>
        <v>409</v>
      </c>
      <c r="Q39" s="27">
        <f>N39*630</f>
        <v>22680</v>
      </c>
      <c r="R39" s="18">
        <f>R38+(Q39/1000)</f>
        <v>158.58</v>
      </c>
      <c r="S39" s="19">
        <v>0</v>
      </c>
      <c r="T39" s="20">
        <v>0</v>
      </c>
      <c r="U39" s="20">
        <f>U38+T39</f>
        <v>110.2206</v>
      </c>
      <c r="V39" s="20">
        <f>T39/N39</f>
        <v>0</v>
      </c>
      <c r="W39" s="16"/>
      <c r="X39" s="16"/>
      <c r="Y39" s="16"/>
    </row>
    <row r="40" ht="32.05" customHeight="1">
      <c r="A40" t="s" s="11">
        <v>62</v>
      </c>
      <c r="B40" t="s" s="35">
        <v>39</v>
      </c>
      <c r="C40" t="s" s="33">
        <v>61</v>
      </c>
      <c r="D40" s="14">
        <v>150</v>
      </c>
      <c r="E40" s="29">
        <v>44756.748460648145</v>
      </c>
      <c r="F40" s="29">
        <v>44756.748460648145</v>
      </c>
      <c r="G40" s="14">
        <v>76153</v>
      </c>
      <c r="H40" s="28">
        <v>0.92</v>
      </c>
      <c r="I40" s="28">
        <v>0.9399999999999999</v>
      </c>
      <c r="J40" s="16">
        <v>0.002777777777777778</v>
      </c>
      <c r="K40" s="16">
        <f>K39+J40</f>
        <v>0.502199074074074</v>
      </c>
      <c r="L40" s="14">
        <v>107</v>
      </c>
      <c r="M40" s="14">
        <f>G40-$G$23</f>
        <v>1913</v>
      </c>
      <c r="N40" s="27">
        <v>1</v>
      </c>
      <c r="O40" s="27">
        <v>45</v>
      </c>
      <c r="P40" s="27">
        <f>N40+P39</f>
        <v>410</v>
      </c>
      <c r="Q40" s="27">
        <f>N40*630</f>
        <v>630</v>
      </c>
      <c r="R40" s="18">
        <f>R39+(Q40/1000)</f>
        <v>159.21</v>
      </c>
      <c r="S40" s="19">
        <v>0.33</v>
      </c>
      <c r="T40" s="20">
        <v>1.18</v>
      </c>
      <c r="U40" s="20">
        <f>U39+T40</f>
        <v>111.4006</v>
      </c>
      <c r="V40" s="20">
        <f>T40/N40</f>
        <v>1.18</v>
      </c>
      <c r="W40" s="16"/>
      <c r="X40" s="16"/>
      <c r="Y40" s="16"/>
    </row>
    <row r="41" ht="32.05" customHeight="1">
      <c r="A41" t="s" s="11">
        <v>63</v>
      </c>
      <c r="B41" t="s" s="35">
        <v>39</v>
      </c>
      <c r="C41" t="s" s="33">
        <v>54</v>
      </c>
      <c r="D41" s="14">
        <v>2</v>
      </c>
      <c r="E41" s="29">
        <v>44757.0528587963</v>
      </c>
      <c r="F41" s="29">
        <v>44757.288275462961</v>
      </c>
      <c r="G41" s="14">
        <v>76378</v>
      </c>
      <c r="H41" s="28">
        <v>0.18</v>
      </c>
      <c r="I41" s="28">
        <v>0.26</v>
      </c>
      <c r="J41" s="16">
        <v>0.2361111111111111</v>
      </c>
      <c r="K41" s="16">
        <f>K40+J41</f>
        <v>0.7383101851851852</v>
      </c>
      <c r="L41" s="14">
        <f>G41-G39</f>
        <v>225</v>
      </c>
      <c r="M41" s="14">
        <f>G41-$G$23</f>
        <v>2138</v>
      </c>
      <c r="N41" s="27">
        <v>7</v>
      </c>
      <c r="O41" s="27">
        <v>1.4</v>
      </c>
      <c r="P41" s="27">
        <f>N41+P40</f>
        <v>417</v>
      </c>
      <c r="Q41" s="27">
        <f>N41*670</f>
        <v>4690</v>
      </c>
      <c r="R41" s="18">
        <f>R40+(Q41/1000)</f>
        <v>163.9</v>
      </c>
      <c r="S41" s="19">
        <v>0</v>
      </c>
      <c r="T41" s="20">
        <v>0</v>
      </c>
      <c r="U41" s="20">
        <f>U40+T41</f>
        <v>111.4006</v>
      </c>
      <c r="V41" s="20">
        <f>T41/N41</f>
        <v>0</v>
      </c>
      <c r="W41" s="16"/>
      <c r="X41" s="16"/>
      <c r="Y41" s="16"/>
    </row>
    <row r="42" ht="32.05" customHeight="1">
      <c r="A42" t="s" s="11">
        <v>64</v>
      </c>
      <c r="B42" t="s" s="35">
        <v>39</v>
      </c>
      <c r="C42" t="s" s="33">
        <v>61</v>
      </c>
      <c r="D42" s="14">
        <v>150</v>
      </c>
      <c r="E42" s="29">
        <v>44757.292210648149</v>
      </c>
      <c r="F42" s="29">
        <v>44757.297071759262</v>
      </c>
      <c r="G42" s="14">
        <v>76380</v>
      </c>
      <c r="H42" s="28">
        <v>0.26</v>
      </c>
      <c r="I42" s="28">
        <v>0.31</v>
      </c>
      <c r="J42" s="16">
        <v>0.004861111111111111</v>
      </c>
      <c r="K42" s="16">
        <f>K41+J42</f>
        <v>0.7431712962962963</v>
      </c>
      <c r="L42" s="14">
        <f>G42-G39</f>
        <v>227</v>
      </c>
      <c r="M42" s="14">
        <f>G42-$G$23</f>
        <v>2140</v>
      </c>
      <c r="N42" s="27">
        <v>4.4</v>
      </c>
      <c r="O42" s="27">
        <v>12</v>
      </c>
      <c r="P42" s="27">
        <f>N42+P41</f>
        <v>421.4</v>
      </c>
      <c r="Q42" s="27">
        <f>N42*670</f>
        <v>2948</v>
      </c>
      <c r="R42" s="18">
        <f>R41+(Q42/1000)</f>
        <v>166.848</v>
      </c>
      <c r="S42" s="19">
        <v>0.33</v>
      </c>
      <c r="T42" s="20">
        <v>2.27</v>
      </c>
      <c r="U42" s="20">
        <f>U41+T42</f>
        <v>113.6706</v>
      </c>
      <c r="V42" s="20">
        <f>T42/N42</f>
        <v>0.515909090909091</v>
      </c>
      <c r="W42" s="16"/>
      <c r="X42" s="16"/>
      <c r="Y42" s="16"/>
    </row>
    <row r="43" ht="32.05" customHeight="1">
      <c r="A43" t="s" s="11">
        <v>65</v>
      </c>
      <c r="B43" t="s" s="35">
        <v>39</v>
      </c>
      <c r="C43" t="s" s="33">
        <v>61</v>
      </c>
      <c r="D43" s="14">
        <v>150</v>
      </c>
      <c r="E43" s="29">
        <v>44757.299155092594</v>
      </c>
      <c r="F43" s="29">
        <v>44757.299155092594</v>
      </c>
      <c r="G43" s="14">
        <v>76380</v>
      </c>
      <c r="H43" s="28">
        <v>0.31</v>
      </c>
      <c r="I43" s="28">
        <v>0.91</v>
      </c>
      <c r="J43" s="16">
        <v>0.0375</v>
      </c>
      <c r="K43" s="16">
        <f>K42+J43</f>
        <v>0.7806712962962963</v>
      </c>
      <c r="L43" s="14">
        <f>G43-G42</f>
        <v>0</v>
      </c>
      <c r="M43" s="14">
        <f>G43-$G$23</f>
        <v>2140</v>
      </c>
      <c r="N43" s="27">
        <v>41.9</v>
      </c>
      <c r="O43" s="27">
        <v>68</v>
      </c>
      <c r="P43" s="27">
        <f>N43+P42</f>
        <v>463.3</v>
      </c>
      <c r="Q43" s="27">
        <f>N43*670</f>
        <v>28073</v>
      </c>
      <c r="R43" s="18">
        <f>R42+(Q43/1000)</f>
        <v>194.921</v>
      </c>
      <c r="S43" s="19">
        <v>0.33</v>
      </c>
      <c r="T43" s="20">
        <v>17.78</v>
      </c>
      <c r="U43" s="20">
        <f>U42+T43</f>
        <v>131.4506</v>
      </c>
      <c r="V43" s="20">
        <f>T43/N43</f>
        <v>0.424343675417661</v>
      </c>
      <c r="W43" s="16"/>
      <c r="X43" s="16"/>
      <c r="Y43" s="16"/>
    </row>
    <row r="44" ht="32.05" customHeight="1">
      <c r="A44" t="s" s="11">
        <v>66</v>
      </c>
      <c r="B44" t="s" s="35">
        <v>39</v>
      </c>
      <c r="C44" t="s" s="33">
        <v>61</v>
      </c>
      <c r="D44" s="14">
        <v>150</v>
      </c>
      <c r="E44" s="29">
        <v>44756.748460648145</v>
      </c>
      <c r="F44" s="29">
        <v>44756.748460648145</v>
      </c>
      <c r="G44" s="14">
        <v>76554</v>
      </c>
      <c r="H44" s="28">
        <v>0.39</v>
      </c>
      <c r="I44" s="25">
        <v>0.4</v>
      </c>
      <c r="J44" s="16">
        <v>0.0006944444444444445</v>
      </c>
      <c r="K44" s="16">
        <f>K43+J44</f>
        <v>0.7813657407407407</v>
      </c>
      <c r="L44" s="14">
        <f>G44-G43</f>
        <v>174</v>
      </c>
      <c r="M44" s="14">
        <f>G44-$G$23</f>
        <v>2314</v>
      </c>
      <c r="N44" s="27">
        <v>0.7</v>
      </c>
      <c r="O44" s="27">
        <v>45</v>
      </c>
      <c r="P44" s="27">
        <f>N44+P43</f>
        <v>464</v>
      </c>
      <c r="Q44" s="27">
        <f>N44*670</f>
        <v>469</v>
      </c>
      <c r="R44" s="18">
        <f>R43+(Q44/1000)</f>
        <v>195.39</v>
      </c>
      <c r="S44" s="19">
        <v>0.33</v>
      </c>
      <c r="T44" s="20">
        <v>3.95</v>
      </c>
      <c r="U44" s="20">
        <f>U43+T44</f>
        <v>135.4006</v>
      </c>
      <c r="V44" s="20">
        <f>T44/N44</f>
        <v>5.64285714285714</v>
      </c>
      <c r="W44" t="s" s="33">
        <v>67</v>
      </c>
      <c r="X44" s="16"/>
      <c r="Y44" s="16"/>
    </row>
    <row r="45" ht="32.05" customHeight="1">
      <c r="A45" t="s" s="11">
        <v>68</v>
      </c>
      <c r="B45" t="s" s="35">
        <v>69</v>
      </c>
      <c r="C45" t="s" s="33">
        <v>61</v>
      </c>
      <c r="D45" s="14">
        <v>150</v>
      </c>
      <c r="E45" s="16"/>
      <c r="F45" s="16"/>
      <c r="G45" s="14">
        <v>76554</v>
      </c>
      <c r="H45" s="25">
        <v>0.4</v>
      </c>
      <c r="I45" s="25">
        <v>0.8</v>
      </c>
      <c r="J45" s="16">
        <v>0.03472222222222222</v>
      </c>
      <c r="K45" s="16">
        <f>K44+J45</f>
        <v>0.8160879629629629</v>
      </c>
      <c r="L45" s="14">
        <f>G45-G44</f>
        <v>0</v>
      </c>
      <c r="M45" s="14">
        <f>G45-$G$23</f>
        <v>2314</v>
      </c>
      <c r="N45" s="27">
        <v>36</v>
      </c>
      <c r="O45" s="27">
        <v>45</v>
      </c>
      <c r="P45" s="27">
        <f>N45+P44</f>
        <v>500</v>
      </c>
      <c r="Q45" s="27">
        <f>N45*670</f>
        <v>24120</v>
      </c>
      <c r="R45" s="18">
        <f>R44+(Q45/1000)</f>
        <v>219.51</v>
      </c>
      <c r="S45" s="19">
        <v>0</v>
      </c>
      <c r="T45" s="20">
        <v>0</v>
      </c>
      <c r="U45" s="20">
        <f>U44+T45</f>
        <v>135.4006</v>
      </c>
      <c r="V45" s="20">
        <f>T45/N45</f>
        <v>0</v>
      </c>
      <c r="W45" s="16"/>
      <c r="X45" s="16"/>
      <c r="Y45" s="16"/>
    </row>
    <row r="46" ht="32.05" customHeight="1">
      <c r="A46" t="s" s="11">
        <v>70</v>
      </c>
      <c r="B46" t="s" s="35">
        <v>39</v>
      </c>
      <c r="C46" t="s" s="33">
        <v>61</v>
      </c>
      <c r="D46" s="14">
        <v>150</v>
      </c>
      <c r="E46" s="29">
        <v>44756.748460648145</v>
      </c>
      <c r="F46" s="29">
        <v>44756.748460648145</v>
      </c>
      <c r="G46" s="14">
        <v>76632</v>
      </c>
      <c r="H46" s="28">
        <v>0.23</v>
      </c>
      <c r="I46" s="28">
        <v>0.72</v>
      </c>
      <c r="J46" s="16">
        <v>0.03402777777777777</v>
      </c>
      <c r="K46" s="16">
        <f>K44+J46</f>
        <v>0.8153935185185185</v>
      </c>
      <c r="L46" s="14">
        <f>G46-G45</f>
        <v>78</v>
      </c>
      <c r="M46" s="14">
        <f>G46-$G$23</f>
        <v>2392</v>
      </c>
      <c r="N46" s="27">
        <v>34.4</v>
      </c>
      <c r="O46" s="27">
        <v>48</v>
      </c>
      <c r="P46" s="27">
        <f>N46+P45</f>
        <v>534.4</v>
      </c>
      <c r="Q46" s="27">
        <f>N46*670</f>
        <v>23048</v>
      </c>
      <c r="R46" s="18">
        <f>R45+(Q46/1000)</f>
        <v>242.558</v>
      </c>
      <c r="S46" s="19">
        <v>0.33</v>
      </c>
      <c r="T46" s="20">
        <v>15.96</v>
      </c>
      <c r="U46" s="20">
        <f>U44+T46</f>
        <v>151.3606</v>
      </c>
      <c r="V46" s="20">
        <f>T46/N46</f>
        <v>0.463953488372093</v>
      </c>
      <c r="W46" s="16"/>
      <c r="X46" s="16"/>
      <c r="Y46" s="16"/>
    </row>
    <row r="47" ht="32.05" customHeight="1">
      <c r="A47" t="s" s="11">
        <v>71</v>
      </c>
      <c r="B47" t="s" s="35">
        <v>39</v>
      </c>
      <c r="C47" t="s" s="33">
        <v>72</v>
      </c>
      <c r="D47" s="14">
        <v>50</v>
      </c>
      <c r="E47" s="16"/>
      <c r="F47" s="16"/>
      <c r="G47" s="14">
        <v>76632</v>
      </c>
      <c r="H47" s="28">
        <v>0.72</v>
      </c>
      <c r="I47" s="28">
        <v>0.92</v>
      </c>
      <c r="J47" s="16">
        <v>0.01666666666666667</v>
      </c>
      <c r="K47" s="16">
        <f>K46+J47</f>
        <v>0.8320601851851852</v>
      </c>
      <c r="L47" s="14">
        <f>G47-G46</f>
        <v>0</v>
      </c>
      <c r="M47" s="14">
        <f>G47-$G$23</f>
        <v>2392</v>
      </c>
      <c r="N47" s="27">
        <v>11.99</v>
      </c>
      <c r="O47" s="27">
        <v>45</v>
      </c>
      <c r="P47" s="27">
        <f>N47+P46</f>
        <v>546.39</v>
      </c>
      <c r="Q47" s="27">
        <f>N47*670</f>
        <v>8033.3</v>
      </c>
      <c r="R47" s="18">
        <f>R46+(Q47/1000)</f>
        <v>250.5913</v>
      </c>
      <c r="S47" s="19">
        <v>0.31</v>
      </c>
      <c r="T47" s="20">
        <v>8.09</v>
      </c>
      <c r="U47" s="20">
        <f>U46+T47</f>
        <v>159.4506</v>
      </c>
      <c r="V47" s="20">
        <f>T47/N47</f>
        <v>0.674728940783987</v>
      </c>
      <c r="W47" s="16"/>
      <c r="X47" s="16"/>
      <c r="Y47" s="16"/>
    </row>
    <row r="48" ht="32.05" customHeight="1">
      <c r="A48" t="s" s="11">
        <v>73</v>
      </c>
      <c r="B48" t="s" s="35">
        <v>39</v>
      </c>
      <c r="C48" t="s" s="33">
        <v>61</v>
      </c>
      <c r="D48" s="14">
        <v>50</v>
      </c>
      <c r="E48" s="16"/>
      <c r="F48" s="16"/>
      <c r="G48" s="14">
        <v>76850</v>
      </c>
      <c r="H48" s="28">
        <v>0.28</v>
      </c>
      <c r="I48" s="28">
        <v>0.78</v>
      </c>
      <c r="J48" s="16">
        <v>0.02083333333333333</v>
      </c>
      <c r="K48" s="16">
        <f>K47+J48</f>
        <v>0.8528935185185185</v>
      </c>
      <c r="L48" s="14">
        <f>G48-G47</f>
        <v>218</v>
      </c>
      <c r="M48" s="14">
        <f>G48-$G$23</f>
        <v>2610</v>
      </c>
      <c r="N48" s="27">
        <v>36.1</v>
      </c>
      <c r="O48" s="27">
        <v>48</v>
      </c>
      <c r="P48" s="27">
        <f>N48+P47</f>
        <v>582.49</v>
      </c>
      <c r="Q48" s="27">
        <f>N48*670</f>
        <v>24187</v>
      </c>
      <c r="R48" s="18">
        <f>R47+(Q48/1000)</f>
        <v>274.7783</v>
      </c>
      <c r="S48" s="19">
        <v>0.33</v>
      </c>
      <c r="T48" s="20">
        <v>9.779999999999999</v>
      </c>
      <c r="U48" s="20">
        <f>U47+T48</f>
        <v>169.2306</v>
      </c>
      <c r="V48" s="20">
        <f>T48/N48</f>
        <v>0.270914127423823</v>
      </c>
      <c r="W48" t="s" s="33">
        <v>74</v>
      </c>
      <c r="X48" s="16"/>
      <c r="Y48" s="16"/>
    </row>
    <row r="49" ht="20.05" customHeight="1">
      <c r="A49" t="s" s="11">
        <v>75</v>
      </c>
      <c r="B49" t="s" s="35">
        <v>39</v>
      </c>
      <c r="C49" t="s" s="33">
        <v>72</v>
      </c>
      <c r="D49" s="14">
        <v>50</v>
      </c>
      <c r="E49" s="16"/>
      <c r="F49" s="16"/>
      <c r="G49" s="14">
        <v>77062</v>
      </c>
      <c r="H49" s="28">
        <v>0.25</v>
      </c>
      <c r="I49" s="25">
        <v>0.6</v>
      </c>
      <c r="J49" s="16">
        <v>0.01041666666666667</v>
      </c>
      <c r="K49" s="16">
        <f>K48+J49</f>
        <v>0.8633101851851852</v>
      </c>
      <c r="L49" s="14">
        <f>G49-G48</f>
        <v>212</v>
      </c>
      <c r="M49" s="14">
        <f>G49-$G$23</f>
        <v>2822</v>
      </c>
      <c r="N49" s="27">
        <v>12.14</v>
      </c>
      <c r="O49" s="27">
        <v>45</v>
      </c>
      <c r="P49" s="27">
        <f>N49+P48</f>
        <v>594.63</v>
      </c>
      <c r="Q49" s="27">
        <f>N49*1.2</f>
        <v>14.568</v>
      </c>
      <c r="R49" s="18">
        <f>R48+(Q49/1000)</f>
        <v>274.792868</v>
      </c>
      <c r="S49" s="19">
        <v>0.33</v>
      </c>
      <c r="T49" s="20">
        <v>5.31</v>
      </c>
      <c r="U49" s="20">
        <f>U48+T49</f>
        <v>174.5406</v>
      </c>
      <c r="V49" s="20">
        <f>T49/N49</f>
        <v>0.437397034596376</v>
      </c>
      <c r="W49" s="16"/>
      <c r="X49" s="16"/>
      <c r="Y49" s="16"/>
    </row>
    <row r="50" ht="32.05" customHeight="1">
      <c r="A50" t="s" s="11">
        <v>76</v>
      </c>
      <c r="B50" t="s" s="35">
        <v>39</v>
      </c>
      <c r="C50" t="s" s="33">
        <v>72</v>
      </c>
      <c r="D50" s="14">
        <v>50</v>
      </c>
      <c r="E50" s="16"/>
      <c r="F50" s="16"/>
      <c r="G50" s="14">
        <v>77141</v>
      </c>
      <c r="H50" s="28">
        <v>0.15</v>
      </c>
      <c r="I50" s="25">
        <v>0.5</v>
      </c>
      <c r="J50" s="16">
        <v>0.01875</v>
      </c>
      <c r="K50" s="16">
        <f>K49+J50</f>
        <v>0.8820601851851851</v>
      </c>
      <c r="L50" s="14">
        <f>G50-G49</f>
        <v>79</v>
      </c>
      <c r="M50" s="14">
        <f>G50-$G$23</f>
        <v>2901</v>
      </c>
      <c r="N50" s="27">
        <v>14.73</v>
      </c>
      <c r="O50" s="27">
        <v>48</v>
      </c>
      <c r="P50" s="27">
        <f>N50+P49</f>
        <v>609.36</v>
      </c>
      <c r="Q50" s="27">
        <f>N50*1.2</f>
        <v>17.676</v>
      </c>
      <c r="R50" s="18">
        <f>R49+(Q50/1000)</f>
        <v>274.810544</v>
      </c>
      <c r="S50" s="19">
        <v>0.33</v>
      </c>
      <c r="T50" s="20">
        <v>9.07</v>
      </c>
      <c r="U50" s="20">
        <f>U49+T50</f>
        <v>183.6106</v>
      </c>
      <c r="V50" s="20">
        <f>T50/N50</f>
        <v>0.615750169721656</v>
      </c>
      <c r="W50" s="16"/>
      <c r="X50" s="16"/>
      <c r="Y50" s="16"/>
    </row>
    <row r="51" ht="44.05" customHeight="1">
      <c r="A51" t="s" s="11">
        <v>77</v>
      </c>
      <c r="B51" t="s" s="35">
        <v>39</v>
      </c>
      <c r="C51" t="s" s="33">
        <v>54</v>
      </c>
      <c r="D51" s="14">
        <v>2</v>
      </c>
      <c r="E51" s="29">
        <v>44757.9384375</v>
      </c>
      <c r="F51" s="29">
        <v>44758.583576388890</v>
      </c>
      <c r="G51" s="14">
        <v>77242</v>
      </c>
      <c r="H51" s="28">
        <v>0.15</v>
      </c>
      <c r="I51" s="28">
        <v>0.25</v>
      </c>
      <c r="J51" s="16">
        <v>0.6458333333333334</v>
      </c>
      <c r="K51" s="16">
        <f>K50+J51</f>
        <v>1.527893518518519</v>
      </c>
      <c r="L51" s="14">
        <f>G51-G50</f>
        <v>101</v>
      </c>
      <c r="M51" s="14">
        <f>G51-$G$23</f>
        <v>3002</v>
      </c>
      <c r="N51" s="27">
        <v>20</v>
      </c>
      <c r="O51" s="27">
        <v>1.4</v>
      </c>
      <c r="P51" s="27">
        <f>N51+P50</f>
        <v>629.36</v>
      </c>
      <c r="Q51" s="27">
        <f>N51*1.2</f>
        <v>24</v>
      </c>
      <c r="R51" s="18">
        <f>R50+(Q51/1000)</f>
        <v>274.834544</v>
      </c>
      <c r="S51" s="19">
        <v>0</v>
      </c>
      <c r="T51" s="20">
        <v>0</v>
      </c>
      <c r="U51" s="20">
        <f>U50+T51</f>
        <v>183.6106</v>
      </c>
      <c r="V51" s="20">
        <f>T51/N51</f>
        <v>0</v>
      </c>
      <c r="W51" s="16"/>
      <c r="X51" s="16"/>
      <c r="Y51" s="16"/>
    </row>
    <row r="52" ht="32.05" customHeight="1">
      <c r="A52" t="s" s="11">
        <v>78</v>
      </c>
      <c r="B52" t="s" s="35">
        <v>39</v>
      </c>
      <c r="C52" t="s" s="33">
        <v>54</v>
      </c>
      <c r="D52" s="14">
        <v>8</v>
      </c>
      <c r="E52" s="29">
        <v>44758.598854166667</v>
      </c>
      <c r="F52" s="29">
        <v>44758.750243055554</v>
      </c>
      <c r="G52" s="14">
        <v>77246</v>
      </c>
      <c r="H52" s="28">
        <v>0.25</v>
      </c>
      <c r="I52" s="25">
        <v>0.6</v>
      </c>
      <c r="J52" s="16">
        <v>0.1458333333333333</v>
      </c>
      <c r="K52" s="16">
        <f>K51+J52</f>
        <v>1.673726851851852</v>
      </c>
      <c r="L52" s="14">
        <f>G52-G51</f>
        <v>4</v>
      </c>
      <c r="M52" s="14">
        <f>G52-$G$23</f>
        <v>3006</v>
      </c>
      <c r="N52" s="27">
        <v>21.9</v>
      </c>
      <c r="O52" s="27">
        <v>7.4</v>
      </c>
      <c r="P52" s="27">
        <f>N52+P51</f>
        <v>651.26</v>
      </c>
      <c r="Q52" s="27">
        <f>N52*1.2</f>
        <v>26.28</v>
      </c>
      <c r="R52" s="18">
        <f>R51+(Q52/1000)</f>
        <v>274.860824</v>
      </c>
      <c r="S52" s="19">
        <v>0</v>
      </c>
      <c r="T52" s="20">
        <v>0</v>
      </c>
      <c r="U52" s="20">
        <f>U51+T52</f>
        <v>183.6106</v>
      </c>
      <c r="V52" s="20">
        <f>T52/N52</f>
        <v>0</v>
      </c>
      <c r="W52" s="16"/>
      <c r="X52" s="16"/>
      <c r="Y52" s="16"/>
    </row>
    <row r="53" ht="32.05" customHeight="1">
      <c r="A53" t="s" s="11">
        <v>79</v>
      </c>
      <c r="B53" t="s" s="35">
        <v>39</v>
      </c>
      <c r="C53" t="s" s="33">
        <v>54</v>
      </c>
      <c r="D53" s="14">
        <v>2</v>
      </c>
      <c r="E53" s="16"/>
      <c r="F53" s="16"/>
      <c r="G53" s="14">
        <v>77250</v>
      </c>
      <c r="H53" s="25">
        <v>0.7</v>
      </c>
      <c r="I53" s="28">
        <v>0.86</v>
      </c>
      <c r="J53" s="16">
        <v>0.375</v>
      </c>
      <c r="K53" s="16">
        <f>K52+J53</f>
        <v>2.048726851851852</v>
      </c>
      <c r="L53" s="14">
        <f>G53-G52</f>
        <v>4</v>
      </c>
      <c r="M53" s="14">
        <f>G53-$G$23</f>
        <v>3010</v>
      </c>
      <c r="N53" s="27">
        <v>10.8</v>
      </c>
      <c r="O53" s="27">
        <v>1.4</v>
      </c>
      <c r="P53" s="27">
        <f>N53+P52</f>
        <v>662.0599999999999</v>
      </c>
      <c r="Q53" s="27">
        <f>N53*1.2</f>
        <v>12.96</v>
      </c>
      <c r="R53" s="18">
        <f>R52+(Q53/1000)</f>
        <v>274.873784</v>
      </c>
      <c r="S53" s="19">
        <v>0</v>
      </c>
      <c r="T53" s="20">
        <v>0</v>
      </c>
      <c r="U53" s="20">
        <f>U52+T53</f>
        <v>183.6106</v>
      </c>
      <c r="V53" s="20">
        <f>T53/N53</f>
        <v>0</v>
      </c>
      <c r="W53" s="16"/>
      <c r="X53" s="16"/>
      <c r="Y53" s="16"/>
    </row>
    <row r="54" ht="32.05" customHeight="1">
      <c r="A54" t="s" s="11">
        <v>80</v>
      </c>
      <c r="B54" t="s" s="35">
        <v>39</v>
      </c>
      <c r="C54" t="s" s="33">
        <v>81</v>
      </c>
      <c r="D54" s="14">
        <v>150</v>
      </c>
      <c r="E54" s="16"/>
      <c r="F54" s="16"/>
      <c r="G54" s="14">
        <v>77423</v>
      </c>
      <c r="H54" s="28">
        <v>0.39</v>
      </c>
      <c r="I54" s="28">
        <v>0.5600000000000001</v>
      </c>
      <c r="J54" s="16">
        <v>0.01458333333333333</v>
      </c>
      <c r="K54" s="16">
        <f>K53+J54</f>
        <v>2.063310185185185</v>
      </c>
      <c r="L54" s="14">
        <f>G54-G53</f>
        <v>173</v>
      </c>
      <c r="M54" s="14">
        <f>G54-$G$23</f>
        <v>3183</v>
      </c>
      <c r="N54" s="27">
        <v>13.2</v>
      </c>
      <c r="O54" s="27">
        <v>48</v>
      </c>
      <c r="P54" s="27">
        <f>N54+P53</f>
        <v>675.26</v>
      </c>
      <c r="Q54" s="27">
        <f>N54*1.2</f>
        <v>15.84</v>
      </c>
      <c r="R54" s="18">
        <f>R53+(Q54/1000)</f>
        <v>274.889624</v>
      </c>
      <c r="S54" s="19">
        <v>0.33</v>
      </c>
      <c r="T54" s="20">
        <v>6.86</v>
      </c>
      <c r="U54" s="20">
        <f>U53+T54</f>
        <v>190.4706</v>
      </c>
      <c r="V54" s="20">
        <f>T54/N54</f>
        <v>0.51969696969697</v>
      </c>
      <c r="W54" s="16"/>
      <c r="X54" s="16"/>
      <c r="Y54" s="16"/>
    </row>
    <row r="55" ht="32.05" customHeight="1">
      <c r="A55" t="s" s="11">
        <v>82</v>
      </c>
      <c r="B55" t="s" s="35">
        <v>39</v>
      </c>
      <c r="C55" t="s" s="33">
        <v>49</v>
      </c>
      <c r="D55" s="14">
        <v>50</v>
      </c>
      <c r="E55" s="16"/>
      <c r="F55" s="16"/>
      <c r="G55" s="14">
        <v>77551</v>
      </c>
      <c r="H55" s="28">
        <v>0.18</v>
      </c>
      <c r="I55" s="28">
        <v>0.93</v>
      </c>
      <c r="J55" s="16">
        <v>0.05347222222222222</v>
      </c>
      <c r="K55" s="16">
        <f>K54+J55</f>
        <v>2.116782407407408</v>
      </c>
      <c r="L55" s="14">
        <f>G55-G54</f>
        <v>128</v>
      </c>
      <c r="M55" s="14">
        <f>G55-$G$23</f>
        <v>3311</v>
      </c>
      <c r="N55" s="27">
        <v>48.5</v>
      </c>
      <c r="O55" s="27">
        <v>48</v>
      </c>
      <c r="P55" s="27">
        <f>N55+P54</f>
        <v>723.76</v>
      </c>
      <c r="Q55" s="27">
        <f>N55*1.2</f>
        <v>58.2</v>
      </c>
      <c r="R55" s="18">
        <f>R54+(Q55/1000)</f>
        <v>274.947824</v>
      </c>
      <c r="S55" s="19">
        <v>0.33</v>
      </c>
      <c r="T55" s="20">
        <v>25.66</v>
      </c>
      <c r="U55" s="20">
        <f>U54+T55</f>
        <v>216.1306</v>
      </c>
      <c r="V55" s="20">
        <f>T55/N55</f>
        <v>0.529072164948454</v>
      </c>
      <c r="W55" s="16"/>
      <c r="X55" s="16"/>
      <c r="Y55" s="16"/>
    </row>
    <row r="56" ht="20.05" customHeight="1">
      <c r="A56" t="s" s="11">
        <v>83</v>
      </c>
      <c r="B56" t="s" s="35">
        <v>39</v>
      </c>
      <c r="C56" t="s" s="33">
        <v>84</v>
      </c>
      <c r="D56" s="14">
        <v>50</v>
      </c>
      <c r="E56" s="16"/>
      <c r="F56" s="16"/>
      <c r="G56" s="14">
        <v>77771</v>
      </c>
      <c r="H56" s="25">
        <v>0.2</v>
      </c>
      <c r="I56" s="28">
        <v>0.92</v>
      </c>
      <c r="J56" s="16">
        <v>0.05069444444444444</v>
      </c>
      <c r="K56" s="16">
        <f>K55+J56</f>
        <v>2.167476851851852</v>
      </c>
      <c r="L56" s="14">
        <f>G56-G55</f>
        <v>220</v>
      </c>
      <c r="M56" s="14">
        <f>G56-$G$23</f>
        <v>3531</v>
      </c>
      <c r="N56" s="27">
        <v>48.34</v>
      </c>
      <c r="O56" s="27">
        <v>49</v>
      </c>
      <c r="P56" s="27">
        <f>N56+P55</f>
        <v>772.1</v>
      </c>
      <c r="Q56" s="27">
        <f>N56*26</f>
        <v>1256.84</v>
      </c>
      <c r="R56" s="18">
        <f>R55+(Q56/1000)</f>
        <v>276.204664</v>
      </c>
      <c r="S56" s="19">
        <v>0.3</v>
      </c>
      <c r="T56" s="20">
        <v>24.83</v>
      </c>
      <c r="U56" s="20">
        <f>U55+T56</f>
        <v>240.9606</v>
      </c>
      <c r="V56" s="20">
        <f>T56/N56</f>
        <v>0.513653289201489</v>
      </c>
      <c r="W56" s="16"/>
      <c r="X56" s="16"/>
      <c r="Y56" s="16"/>
    </row>
    <row r="57" ht="44.05" customHeight="1">
      <c r="A57" t="s" s="11">
        <v>85</v>
      </c>
      <c r="B57" t="s" s="35">
        <v>39</v>
      </c>
      <c r="C57" t="s" s="33">
        <v>61</v>
      </c>
      <c r="D57" s="14">
        <v>50</v>
      </c>
      <c r="E57" s="16"/>
      <c r="F57" s="16"/>
      <c r="G57" s="14">
        <v>77998</v>
      </c>
      <c r="H57" s="28">
        <v>0.25</v>
      </c>
      <c r="I57" s="25">
        <v>0.9</v>
      </c>
      <c r="J57" s="16">
        <v>0.04791666666666667</v>
      </c>
      <c r="K57" s="16">
        <f>K56+J57</f>
        <v>2.215393518518519</v>
      </c>
      <c r="L57" s="14">
        <f>G57-G56</f>
        <v>227</v>
      </c>
      <c r="M57" s="14">
        <f>G57-$G$23</f>
        <v>3758</v>
      </c>
      <c r="N57" s="27">
        <v>48</v>
      </c>
      <c r="O57" s="27">
        <v>50</v>
      </c>
      <c r="P57" s="27">
        <f>N57+P56</f>
        <v>820.1</v>
      </c>
      <c r="Q57" s="27">
        <f>N57*26</f>
        <v>1248</v>
      </c>
      <c r="R57" s="18">
        <f>R56+(Q57/1000)</f>
        <v>277.452664</v>
      </c>
      <c r="S57" s="19">
        <v>0</v>
      </c>
      <c r="T57" s="20">
        <v>0</v>
      </c>
      <c r="U57" s="20">
        <f>U56+T57</f>
        <v>240.9606</v>
      </c>
      <c r="V57" s="20">
        <f>T57/N57</f>
        <v>0</v>
      </c>
      <c r="W57" t="s" s="33">
        <v>86</v>
      </c>
      <c r="X57" s="16"/>
      <c r="Y57" s="16"/>
    </row>
    <row r="58" ht="32.05" customHeight="1">
      <c r="A58" t="s" s="11">
        <v>87</v>
      </c>
      <c r="B58" t="s" s="35">
        <v>39</v>
      </c>
      <c r="C58" t="s" s="33">
        <v>54</v>
      </c>
      <c r="D58" s="14">
        <v>8</v>
      </c>
      <c r="E58" s="16"/>
      <c r="F58" s="16"/>
      <c r="G58" s="14">
        <v>78242</v>
      </c>
      <c r="H58" s="28">
        <v>0.15</v>
      </c>
      <c r="I58" s="28">
        <v>0.26</v>
      </c>
      <c r="J58" s="16">
        <v>0.2291666666666667</v>
      </c>
      <c r="K58" s="16">
        <f>K57+J58</f>
        <v>2.444560185185185</v>
      </c>
      <c r="L58" s="14">
        <f>G58-G57</f>
        <v>244</v>
      </c>
      <c r="M58" s="14">
        <f>G58-$G$23</f>
        <v>4002</v>
      </c>
      <c r="N58" s="27">
        <v>7.7</v>
      </c>
      <c r="O58" s="27">
        <v>0</v>
      </c>
      <c r="P58" s="27">
        <f>N58+P57</f>
        <v>827.8</v>
      </c>
      <c r="Q58" s="27">
        <f>N58*26</f>
        <v>200.2</v>
      </c>
      <c r="R58" s="18">
        <f>R57+(Q58/1000)</f>
        <v>277.652864</v>
      </c>
      <c r="S58" s="19">
        <v>0</v>
      </c>
      <c r="T58" s="20">
        <v>0</v>
      </c>
      <c r="U58" s="20">
        <f>U57+T58</f>
        <v>240.9606</v>
      </c>
      <c r="V58" s="20">
        <f>T58/N58</f>
        <v>0</v>
      </c>
      <c r="W58" t="s" s="33">
        <v>41</v>
      </c>
      <c r="X58" s="16"/>
      <c r="Y58" s="16"/>
    </row>
    <row r="59" ht="32.05" customHeight="1">
      <c r="A59" t="s" s="11">
        <v>88</v>
      </c>
      <c r="B59" t="s" s="35">
        <v>39</v>
      </c>
      <c r="C59" t="s" s="33">
        <v>84</v>
      </c>
      <c r="D59" s="14">
        <v>50</v>
      </c>
      <c r="E59" s="16"/>
      <c r="F59" s="16"/>
      <c r="G59" s="14">
        <v>78251</v>
      </c>
      <c r="H59" s="28">
        <v>0.25</v>
      </c>
      <c r="I59" s="25">
        <v>0.9</v>
      </c>
      <c r="J59" s="16">
        <v>0.04444444444444445</v>
      </c>
      <c r="K59" s="16">
        <f>K58+J59</f>
        <v>2.48900462962963</v>
      </c>
      <c r="L59" s="14">
        <f>G59-G58</f>
        <v>9</v>
      </c>
      <c r="M59" s="14">
        <f>G59-$G$23</f>
        <v>4011</v>
      </c>
      <c r="N59" s="27">
        <v>44.4</v>
      </c>
      <c r="O59" s="27">
        <v>45</v>
      </c>
      <c r="P59" s="27">
        <f>N59+P58</f>
        <v>872.2</v>
      </c>
      <c r="Q59" s="27">
        <f>N59*26</f>
        <v>1154.4</v>
      </c>
      <c r="R59" s="18">
        <f>R58+(Q59/1000)</f>
        <v>278.807264</v>
      </c>
      <c r="S59" s="19">
        <v>0.3</v>
      </c>
      <c r="T59" s="20">
        <v>21.96</v>
      </c>
      <c r="U59" s="20">
        <f>U58+T59</f>
        <v>262.9206</v>
      </c>
      <c r="V59" s="20">
        <f>T59/N59</f>
        <v>0.494594594594595</v>
      </c>
      <c r="W59" s="16"/>
      <c r="X59" s="16"/>
      <c r="Y59" s="16"/>
    </row>
    <row r="60" ht="20.05" customHeight="1">
      <c r="A60" t="s" s="11">
        <v>89</v>
      </c>
      <c r="B60" t="s" s="35">
        <v>39</v>
      </c>
      <c r="C60" t="s" s="33">
        <v>61</v>
      </c>
      <c r="D60" s="14">
        <v>150</v>
      </c>
      <c r="E60" s="16"/>
      <c r="F60" s="16"/>
      <c r="G60" s="14">
        <v>78369</v>
      </c>
      <c r="H60" s="28">
        <v>0.5600000000000001</v>
      </c>
      <c r="I60" s="28">
        <v>0.79</v>
      </c>
      <c r="J60" s="16">
        <v>0.01527777777777778</v>
      </c>
      <c r="K60" s="16">
        <f>K59+J60</f>
        <v>2.504282407407407</v>
      </c>
      <c r="L60" s="14">
        <f>G60-G59</f>
        <v>118</v>
      </c>
      <c r="M60" s="14">
        <f>G60-$G$23</f>
        <v>4129</v>
      </c>
      <c r="N60" s="27">
        <v>18.4</v>
      </c>
      <c r="O60" s="27">
        <v>71</v>
      </c>
      <c r="P60" s="27">
        <f>N60+P59</f>
        <v>890.6</v>
      </c>
      <c r="Q60" s="27">
        <f>N60*26</f>
        <v>478.4</v>
      </c>
      <c r="R60" s="18">
        <f>R59+(Q60/1000)</f>
        <v>279.285664</v>
      </c>
      <c r="S60" s="19">
        <v>0.33</v>
      </c>
      <c r="T60" s="20">
        <v>7.01</v>
      </c>
      <c r="U60" s="20">
        <f>U59+T60</f>
        <v>269.9306</v>
      </c>
      <c r="V60" s="20">
        <f>T60/N60</f>
        <v>0.380978260869565</v>
      </c>
      <c r="W60" s="16"/>
      <c r="X60" s="16"/>
      <c r="Y60" s="16"/>
    </row>
    <row r="61" ht="32.05" customHeight="1">
      <c r="A61" t="s" s="11">
        <v>90</v>
      </c>
      <c r="B61" t="s" s="35">
        <v>39</v>
      </c>
      <c r="C61" t="s" s="33">
        <v>84</v>
      </c>
      <c r="D61" s="14">
        <v>50</v>
      </c>
      <c r="E61" s="16"/>
      <c r="F61" s="16"/>
      <c r="G61" s="14">
        <v>78478</v>
      </c>
      <c r="H61" s="25">
        <v>0.5</v>
      </c>
      <c r="I61" s="28">
        <v>0.92</v>
      </c>
      <c r="J61" s="16">
        <v>0.04305555555555556</v>
      </c>
      <c r="K61" s="16">
        <f>K60+J61</f>
        <v>2.547337962962963</v>
      </c>
      <c r="L61" s="14">
        <f>G61-G60</f>
        <v>109</v>
      </c>
      <c r="M61" s="14">
        <f>G61-$G$23</f>
        <v>4238</v>
      </c>
      <c r="N61" s="27">
        <v>32.3</v>
      </c>
      <c r="O61" s="27">
        <v>48</v>
      </c>
      <c r="P61" s="27">
        <f>N61+P60</f>
        <v>922.9</v>
      </c>
      <c r="Q61" s="27">
        <f>N61*26</f>
        <v>839.8</v>
      </c>
      <c r="R61" s="18">
        <f>R60+(Q61/1000)</f>
        <v>280.125464</v>
      </c>
      <c r="S61" s="19">
        <v>0.3</v>
      </c>
      <c r="T61" s="20">
        <v>21.31</v>
      </c>
      <c r="U61" s="20">
        <f>U60+T61</f>
        <v>291.2406</v>
      </c>
      <c r="V61" s="20">
        <f>T61/N61</f>
        <v>0.659752321981424</v>
      </c>
      <c r="W61" s="16"/>
      <c r="X61" s="16"/>
      <c r="Y61" s="16"/>
    </row>
    <row r="62" ht="32.05" customHeight="1">
      <c r="A62" t="s" s="11">
        <v>91</v>
      </c>
      <c r="B62" t="s" s="35">
        <v>39</v>
      </c>
      <c r="C62" t="s" s="33">
        <v>84</v>
      </c>
      <c r="D62" s="14">
        <v>50</v>
      </c>
      <c r="E62" s="16"/>
      <c r="F62" s="16"/>
      <c r="G62" s="14">
        <v>78648</v>
      </c>
      <c r="H62" s="25">
        <v>0.3</v>
      </c>
      <c r="I62" s="28">
        <v>0.57</v>
      </c>
      <c r="J62" s="16">
        <v>0.01011574074074074</v>
      </c>
      <c r="K62" s="16">
        <f>K61+J62</f>
        <v>2.557453703703704</v>
      </c>
      <c r="L62" s="14">
        <f>G62-G61</f>
        <v>170</v>
      </c>
      <c r="M62" s="14">
        <f>G62-$G$23</f>
        <v>4408</v>
      </c>
      <c r="N62" s="27">
        <v>11</v>
      </c>
      <c r="O62" s="27">
        <v>48</v>
      </c>
      <c r="P62" s="27">
        <f>N62+P61</f>
        <v>933.9</v>
      </c>
      <c r="Q62" s="27">
        <f>N62*26</f>
        <v>286</v>
      </c>
      <c r="R62" s="18">
        <f>R61+(Q62/1000)</f>
        <v>280.411464</v>
      </c>
      <c r="S62" s="19">
        <v>0.3</v>
      </c>
      <c r="T62" s="20">
        <v>4.94</v>
      </c>
      <c r="U62" s="20">
        <f>U61+T62</f>
        <v>296.1806</v>
      </c>
      <c r="V62" s="20">
        <f>T62/N62</f>
        <v>0.449090909090909</v>
      </c>
      <c r="W62" s="16"/>
      <c r="X62" s="16"/>
      <c r="Y62" s="16"/>
    </row>
    <row r="63" ht="20.05" customHeight="1">
      <c r="A63" t="s" s="11">
        <v>92</v>
      </c>
      <c r="B63" t="s" s="35">
        <v>39</v>
      </c>
      <c r="C63" t="s" s="33">
        <v>61</v>
      </c>
      <c r="D63" s="14">
        <v>50</v>
      </c>
      <c r="E63" s="16"/>
      <c r="F63" s="16"/>
      <c r="G63" s="14">
        <v>78742</v>
      </c>
      <c r="H63" s="28">
        <v>0.29</v>
      </c>
      <c r="I63" s="25">
        <v>0.3</v>
      </c>
      <c r="J63" s="16">
        <v>0.002083333333333333</v>
      </c>
      <c r="K63" s="16">
        <f>K62+J63</f>
        <v>2.559537037037037</v>
      </c>
      <c r="L63" s="14">
        <f>G63-G62</f>
        <v>94</v>
      </c>
      <c r="M63" s="14">
        <f>G63-$G$23</f>
        <v>4502</v>
      </c>
      <c r="N63" s="27">
        <v>0.8</v>
      </c>
      <c r="O63" s="27">
        <v>33</v>
      </c>
      <c r="P63" s="27">
        <f>N63+P62</f>
        <v>934.7</v>
      </c>
      <c r="Q63" s="27">
        <f>N63*26</f>
        <v>20.8</v>
      </c>
      <c r="R63" s="18">
        <f>R62+(Q63/1000)</f>
        <v>280.432264</v>
      </c>
      <c r="S63" s="19">
        <v>0.33</v>
      </c>
      <c r="T63" s="20">
        <v>0.72</v>
      </c>
      <c r="U63" s="20">
        <f>U62+T63</f>
        <v>296.9006</v>
      </c>
      <c r="V63" s="20">
        <f>T63/N63</f>
        <v>0.9</v>
      </c>
      <c r="W63" s="16"/>
      <c r="X63" s="16"/>
      <c r="Y63" s="16"/>
    </row>
    <row r="64" ht="32.05" customHeight="1">
      <c r="A64" t="s" s="11">
        <v>93</v>
      </c>
      <c r="B64" t="s" s="35">
        <v>39</v>
      </c>
      <c r="C64" t="s" s="33">
        <v>61</v>
      </c>
      <c r="D64" s="14">
        <v>150</v>
      </c>
      <c r="E64" s="16"/>
      <c r="F64" s="16"/>
      <c r="G64" s="14">
        <v>78742</v>
      </c>
      <c r="H64" s="25">
        <v>0.3</v>
      </c>
      <c r="I64" s="28">
        <v>0.92</v>
      </c>
      <c r="J64" s="16">
        <v>0.03888888888888889</v>
      </c>
      <c r="K64" s="16">
        <f>K63+J64</f>
        <v>2.598425925925926</v>
      </c>
      <c r="L64" s="14">
        <f>G64-G63</f>
        <v>0</v>
      </c>
      <c r="M64" s="14">
        <f>G64-$G$23</f>
        <v>4502</v>
      </c>
      <c r="N64" s="27">
        <v>46.4</v>
      </c>
      <c r="O64" s="27">
        <v>75</v>
      </c>
      <c r="P64" s="27">
        <f>N64+P63</f>
        <v>981.1</v>
      </c>
      <c r="Q64" s="27">
        <f>N64*26</f>
        <v>1206.4</v>
      </c>
      <c r="R64" s="18">
        <f>R63+(Q64/1000)</f>
        <v>281.638664</v>
      </c>
      <c r="S64" s="19">
        <v>0.33</v>
      </c>
      <c r="T64" s="20">
        <v>18.16</v>
      </c>
      <c r="U64" s="20">
        <f>U63+T64</f>
        <v>315.0606</v>
      </c>
      <c r="V64" s="20">
        <f>T64/N64</f>
        <v>0.391379310344828</v>
      </c>
      <c r="W64" s="16"/>
      <c r="X64" s="16"/>
      <c r="Y64" s="16"/>
    </row>
    <row r="65" ht="32.05" customHeight="1">
      <c r="A65" t="s" s="11">
        <v>94</v>
      </c>
      <c r="B65" t="s" s="35">
        <v>39</v>
      </c>
      <c r="C65" t="s" s="33">
        <v>61</v>
      </c>
      <c r="D65" s="14">
        <v>150</v>
      </c>
      <c r="E65" s="16"/>
      <c r="F65" s="16"/>
      <c r="G65" s="14">
        <v>78974</v>
      </c>
      <c r="H65" s="28">
        <v>0.22</v>
      </c>
      <c r="I65" s="28">
        <v>0.74</v>
      </c>
      <c r="J65" s="16">
        <v>0.025</v>
      </c>
      <c r="K65" s="16">
        <f>K64+J65</f>
        <v>2.623425925925926</v>
      </c>
      <c r="L65" s="14">
        <f>G65-G64</f>
        <v>232</v>
      </c>
      <c r="M65" s="14">
        <f>G65-$G$23</f>
        <v>4734</v>
      </c>
      <c r="N65" s="27">
        <v>37.8</v>
      </c>
      <c r="O65" s="27">
        <v>71</v>
      </c>
      <c r="P65" s="27">
        <f>N65+P64</f>
        <v>1018.9</v>
      </c>
      <c r="Q65" s="27">
        <f>N65*26</f>
        <v>982.8</v>
      </c>
      <c r="R65" s="18">
        <f>R64+(Q65/1000)</f>
        <v>282.621464</v>
      </c>
      <c r="S65" s="19">
        <v>0.33</v>
      </c>
      <c r="T65" s="20">
        <v>11.75</v>
      </c>
      <c r="U65" s="20">
        <f>U64+T65</f>
        <v>326.8106</v>
      </c>
      <c r="V65" s="20">
        <f>T65/N65</f>
        <v>0.310846560846561</v>
      </c>
      <c r="W65" s="16"/>
      <c r="X65" s="16"/>
      <c r="Y65" s="16"/>
    </row>
    <row r="66" ht="32.05" customHeight="1">
      <c r="A66" t="s" s="11">
        <v>95</v>
      </c>
      <c r="B66" t="s" s="35">
        <v>39</v>
      </c>
      <c r="C66" t="s" s="33">
        <v>84</v>
      </c>
      <c r="D66" s="14">
        <v>50</v>
      </c>
      <c r="E66" s="16"/>
      <c r="F66" s="16"/>
      <c r="G66" s="14">
        <v>79117</v>
      </c>
      <c r="H66" s="25">
        <v>0.3</v>
      </c>
      <c r="I66" s="28">
        <v>0.9399999999999999</v>
      </c>
      <c r="J66" s="16">
        <v>0.04791666666666667</v>
      </c>
      <c r="K66" s="16">
        <f>K65+J66</f>
        <v>2.671342592592592</v>
      </c>
      <c r="L66" s="14">
        <f>G66-G65</f>
        <v>143</v>
      </c>
      <c r="M66" s="14">
        <f>G66-$G$23</f>
        <v>4877</v>
      </c>
      <c r="N66" s="27">
        <v>43.45</v>
      </c>
      <c r="O66" s="27">
        <v>49</v>
      </c>
      <c r="P66" s="27">
        <f>N66+P65</f>
        <v>1062.35</v>
      </c>
      <c r="Q66" s="27">
        <f>N66*26</f>
        <v>1129.7</v>
      </c>
      <c r="R66" s="18">
        <f>R65+(Q66/1000)</f>
        <v>283.751164</v>
      </c>
      <c r="S66" s="19">
        <v>0.3</v>
      </c>
      <c r="T66" s="20">
        <v>23.58</v>
      </c>
      <c r="U66" s="20">
        <f>U65+T66</f>
        <v>350.3906</v>
      </c>
      <c r="V66" s="20">
        <f>T66/N66</f>
        <v>0.542692750287687</v>
      </c>
      <c r="W66" s="16"/>
      <c r="X66" s="16"/>
      <c r="Y66" s="16"/>
    </row>
    <row r="67" ht="32.05" customHeight="1">
      <c r="A67" t="s" s="11">
        <v>96</v>
      </c>
      <c r="B67" t="s" s="35">
        <v>39</v>
      </c>
      <c r="C67" t="s" s="33">
        <v>54</v>
      </c>
      <c r="D67" s="14">
        <v>2</v>
      </c>
      <c r="E67" s="16"/>
      <c r="F67" s="16"/>
      <c r="G67" s="14">
        <v>79118</v>
      </c>
      <c r="H67" s="28">
        <v>0.9399999999999999</v>
      </c>
      <c r="I67" s="28">
        <v>1</v>
      </c>
      <c r="J67" s="16">
        <v>0.1458333333333333</v>
      </c>
      <c r="K67" s="16">
        <f>K66+J67</f>
        <v>2.817175925925926</v>
      </c>
      <c r="L67" s="14">
        <f>G67-G66</f>
        <v>1</v>
      </c>
      <c r="M67" s="14">
        <f>G67-$G$23</f>
        <v>4878</v>
      </c>
      <c r="N67" s="27">
        <v>4</v>
      </c>
      <c r="O67" s="27">
        <v>1.4</v>
      </c>
      <c r="P67" s="27">
        <f>N67+P66</f>
        <v>1066.35</v>
      </c>
      <c r="Q67" s="27">
        <f>N67*26</f>
        <v>104</v>
      </c>
      <c r="R67" s="18">
        <f>R66+(Q67/1000)</f>
        <v>283.855164</v>
      </c>
      <c r="S67" s="19">
        <v>0</v>
      </c>
      <c r="T67" s="20">
        <v>0</v>
      </c>
      <c r="U67" s="20">
        <f>U66+T67</f>
        <v>350.3906</v>
      </c>
      <c r="V67" s="20">
        <f>T67/N67</f>
        <v>0</v>
      </c>
      <c r="W67" s="16"/>
      <c r="X67" s="16"/>
      <c r="Y67" s="16"/>
    </row>
    <row r="68" ht="32.05" customHeight="1">
      <c r="A68" t="s" s="11">
        <v>97</v>
      </c>
      <c r="B68" t="s" s="35">
        <v>39</v>
      </c>
      <c r="C68" t="s" s="33">
        <v>54</v>
      </c>
      <c r="D68" s="14">
        <v>2</v>
      </c>
      <c r="E68" s="16"/>
      <c r="F68" s="16"/>
      <c r="G68" s="14">
        <v>79122</v>
      </c>
      <c r="H68" s="28">
        <v>0.99</v>
      </c>
      <c r="I68" s="28">
        <v>1</v>
      </c>
      <c r="J68" s="16">
        <v>0.02083333333333333</v>
      </c>
      <c r="K68" s="16">
        <f>K67+J68</f>
        <v>2.838009259259259</v>
      </c>
      <c r="L68" s="14">
        <f>G68-G67</f>
        <v>4</v>
      </c>
      <c r="M68" s="14">
        <f>G68-$G$23</f>
        <v>4882</v>
      </c>
      <c r="N68" s="27">
        <v>0.5</v>
      </c>
      <c r="O68" s="27">
        <v>1.4</v>
      </c>
      <c r="P68" s="27">
        <f>N68+P67</f>
        <v>1066.85</v>
      </c>
      <c r="Q68" s="27">
        <f>N68*26</f>
        <v>13</v>
      </c>
      <c r="R68" s="18">
        <f>R67+(Q68/1000)</f>
        <v>283.868164</v>
      </c>
      <c r="S68" s="19">
        <v>0</v>
      </c>
      <c r="T68" s="20">
        <v>0</v>
      </c>
      <c r="U68" s="20">
        <f>U67+T68</f>
        <v>350.3906</v>
      </c>
      <c r="V68" s="20">
        <f>T68/N68</f>
        <v>0</v>
      </c>
      <c r="W68" s="16"/>
      <c r="X68" s="16"/>
      <c r="Y68" s="16"/>
    </row>
    <row r="69" ht="32.05" customHeight="1">
      <c r="A69" t="s" s="11">
        <v>98</v>
      </c>
      <c r="B69" t="s" s="35">
        <v>39</v>
      </c>
      <c r="C69" t="s" s="33">
        <v>61</v>
      </c>
      <c r="D69" s="14">
        <v>150</v>
      </c>
      <c r="E69" s="16"/>
      <c r="F69" s="16"/>
      <c r="G69" s="14">
        <v>79222</v>
      </c>
      <c r="H69" s="28">
        <v>0.73</v>
      </c>
      <c r="I69" s="28">
        <v>0.84</v>
      </c>
      <c r="J69" s="16">
        <v>0.01041666666666667</v>
      </c>
      <c r="K69" s="16">
        <f>K68+J69</f>
        <v>2.848425925925926</v>
      </c>
      <c r="L69" s="14">
        <f>G69-G67</f>
        <v>104</v>
      </c>
      <c r="M69" s="14">
        <f>G69-$G$23</f>
        <v>4982</v>
      </c>
      <c r="N69" s="27">
        <v>9</v>
      </c>
      <c r="O69" s="27">
        <v>58</v>
      </c>
      <c r="P69" s="27">
        <f>N69+P68</f>
        <v>1075.85</v>
      </c>
      <c r="Q69" s="27">
        <f>N69*26</f>
        <v>234</v>
      </c>
      <c r="R69" s="18">
        <f>R68+(Q69/1000)</f>
        <v>284.102164</v>
      </c>
      <c r="S69" s="19">
        <v>0</v>
      </c>
      <c r="T69" s="20">
        <v>0</v>
      </c>
      <c r="U69" s="20">
        <f>U68+T69</f>
        <v>350.3906</v>
      </c>
      <c r="V69" s="20">
        <f>T69/N69</f>
        <v>0</v>
      </c>
      <c r="W69" s="16"/>
      <c r="X69" s="16"/>
      <c r="Y69" s="16"/>
    </row>
    <row r="70" ht="32.05" customHeight="1">
      <c r="A70" t="s" s="11">
        <v>99</v>
      </c>
      <c r="B70" t="s" s="35">
        <v>39</v>
      </c>
      <c r="C70" t="s" s="33">
        <v>84</v>
      </c>
      <c r="D70" s="14">
        <v>50</v>
      </c>
      <c r="E70" s="16"/>
      <c r="F70" s="16"/>
      <c r="G70" s="14">
        <v>79448</v>
      </c>
      <c r="H70" s="28">
        <v>0.19</v>
      </c>
      <c r="I70" s="28">
        <v>0.62</v>
      </c>
      <c r="J70" s="16">
        <v>0.02569444444444444</v>
      </c>
      <c r="K70" s="16">
        <f>K69+J70</f>
        <v>2.87412037037037</v>
      </c>
      <c r="L70" s="14">
        <f>G70-G69</f>
        <v>226</v>
      </c>
      <c r="M70" s="14">
        <f>G70-$G$23</f>
        <v>5208</v>
      </c>
      <c r="N70" s="27">
        <v>27.2</v>
      </c>
      <c r="O70" s="27">
        <v>45</v>
      </c>
      <c r="P70" s="27">
        <f>N70+P69</f>
        <v>1103.05</v>
      </c>
      <c r="Q70" s="27">
        <f>N70*26</f>
        <v>707.2</v>
      </c>
      <c r="R70" s="18">
        <f>R69+(Q70/1000)</f>
        <v>284.809364</v>
      </c>
      <c r="S70" s="19">
        <v>0.3</v>
      </c>
      <c r="T70" s="20">
        <v>12.68</v>
      </c>
      <c r="U70" s="20">
        <f>U69+T70</f>
        <v>363.0706</v>
      </c>
      <c r="V70" s="20">
        <f>T70/N70</f>
        <v>0.466176470588235</v>
      </c>
      <c r="W70" s="16"/>
      <c r="X70" s="16"/>
      <c r="Y70" s="16"/>
    </row>
    <row r="71" ht="32.05" customHeight="1">
      <c r="A71" t="s" s="11">
        <v>100</v>
      </c>
      <c r="B71" t="s" s="35">
        <v>39</v>
      </c>
      <c r="C71" t="s" s="33">
        <v>84</v>
      </c>
      <c r="D71" s="14">
        <v>50</v>
      </c>
      <c r="E71" s="16"/>
      <c r="F71" s="16"/>
      <c r="G71" s="14">
        <v>79448</v>
      </c>
      <c r="H71" s="28">
        <v>0.62</v>
      </c>
      <c r="I71" s="25">
        <v>0.8</v>
      </c>
      <c r="J71" s="16">
        <v>0.01180555555555556</v>
      </c>
      <c r="K71" s="16">
        <f>K70+J71</f>
        <v>2.885925925925926</v>
      </c>
      <c r="L71" s="14">
        <f>G71-G70</f>
        <v>0</v>
      </c>
      <c r="M71" s="14">
        <f>G71-$G$23</f>
        <v>5208</v>
      </c>
      <c r="N71" s="27">
        <v>12.76</v>
      </c>
      <c r="O71" s="27">
        <v>48</v>
      </c>
      <c r="P71" s="27">
        <f>N71+P70</f>
        <v>1115.81</v>
      </c>
      <c r="Q71" s="27">
        <f>N71*26</f>
        <v>331.76</v>
      </c>
      <c r="R71" s="18">
        <f>R70+(Q71/1000)</f>
        <v>285.141124</v>
      </c>
      <c r="S71" s="19">
        <v>0.3</v>
      </c>
      <c r="T71" s="20">
        <v>5.85</v>
      </c>
      <c r="U71" s="20">
        <f>U70+T71</f>
        <v>368.9206</v>
      </c>
      <c r="V71" s="20">
        <f>T71/N71</f>
        <v>0.45846394984326</v>
      </c>
      <c r="W71" s="16"/>
      <c r="X71" s="16"/>
      <c r="Y71" s="16"/>
    </row>
    <row r="72" ht="32.05" customHeight="1">
      <c r="A72" t="s" s="11">
        <v>101</v>
      </c>
      <c r="B72" t="s" s="35">
        <v>39</v>
      </c>
      <c r="C72" t="s" s="33">
        <v>49</v>
      </c>
      <c r="D72" s="14">
        <v>50</v>
      </c>
      <c r="E72" s="16"/>
      <c r="F72" s="16"/>
      <c r="G72" s="14">
        <v>79511</v>
      </c>
      <c r="H72" s="28">
        <v>0.64</v>
      </c>
      <c r="I72" s="28">
        <v>0.92</v>
      </c>
      <c r="J72" s="16">
        <v>0.02638888888888889</v>
      </c>
      <c r="K72" s="16">
        <f>K71+J72</f>
        <v>2.912314814814815</v>
      </c>
      <c r="L72" s="14">
        <f>G72-G71</f>
        <v>63</v>
      </c>
      <c r="M72" s="14">
        <f>G72-$G$23</f>
        <v>5271</v>
      </c>
      <c r="N72" s="27">
        <v>19.2</v>
      </c>
      <c r="O72" s="27">
        <v>48</v>
      </c>
      <c r="P72" s="27">
        <f>N72+P71</f>
        <v>1135.01</v>
      </c>
      <c r="Q72" s="27">
        <f>N72*26</f>
        <v>499.2</v>
      </c>
      <c r="R72" s="18">
        <f>R71+(Q72/1000)</f>
        <v>285.640324</v>
      </c>
      <c r="S72" s="19">
        <v>0.25</v>
      </c>
      <c r="T72" s="20">
        <v>9.58</v>
      </c>
      <c r="U72" s="20">
        <f>U71+T72</f>
        <v>378.5006</v>
      </c>
      <c r="V72" s="20">
        <f>T72/N72</f>
        <v>0.498958333333333</v>
      </c>
      <c r="W72" s="16"/>
      <c r="X72" s="16"/>
      <c r="Y72" s="16"/>
    </row>
    <row r="73" ht="32.05" customHeight="1">
      <c r="A73" t="s" s="11">
        <v>102</v>
      </c>
      <c r="B73" t="s" s="35">
        <v>39</v>
      </c>
      <c r="C73" t="s" s="33">
        <v>49</v>
      </c>
      <c r="D73" s="14">
        <v>7</v>
      </c>
      <c r="E73" s="16"/>
      <c r="F73" s="16"/>
      <c r="G73" s="14">
        <v>79511</v>
      </c>
      <c r="H73" s="28">
        <v>0.92</v>
      </c>
      <c r="I73" s="28">
        <v>1</v>
      </c>
      <c r="J73" s="16">
        <v>0.01944444444444444</v>
      </c>
      <c r="K73" s="16">
        <f>K72+J73</f>
        <v>2.931759259259259</v>
      </c>
      <c r="L73" s="14">
        <f>G73-G72</f>
        <v>0</v>
      </c>
      <c r="M73" s="14">
        <f>G73-$G$23</f>
        <v>5271</v>
      </c>
      <c r="N73" s="27">
        <v>2.7</v>
      </c>
      <c r="O73" s="27">
        <v>7</v>
      </c>
      <c r="P73" s="27">
        <f>N73+P72</f>
        <v>1137.71</v>
      </c>
      <c r="Q73" s="27">
        <f>N73*26</f>
        <v>70.2</v>
      </c>
      <c r="R73" s="18">
        <f>R72+(Q73/1000)</f>
        <v>285.710524</v>
      </c>
      <c r="S73" s="19">
        <v>0.0125</v>
      </c>
      <c r="T73" s="20">
        <v>0.36</v>
      </c>
      <c r="U73" s="20">
        <f>U72+T73</f>
        <v>378.8606</v>
      </c>
      <c r="V73" s="20">
        <f>T73/N73</f>
        <v>0.133333333333333</v>
      </c>
      <c r="W73" s="16"/>
      <c r="X73" s="16"/>
      <c r="Y73" s="16"/>
    </row>
    <row r="74" ht="32.05" customHeight="1">
      <c r="A74" t="s" s="11">
        <v>103</v>
      </c>
      <c r="B74" t="s" s="35">
        <v>39</v>
      </c>
      <c r="C74" t="s" s="33">
        <v>49</v>
      </c>
      <c r="D74" s="14">
        <v>50</v>
      </c>
      <c r="E74" s="16"/>
      <c r="F74" s="16"/>
      <c r="G74" s="14">
        <v>79712</v>
      </c>
      <c r="H74" s="28">
        <v>0.43</v>
      </c>
      <c r="I74" s="25">
        <v>0.6</v>
      </c>
      <c r="J74" s="16">
        <v>0.01736111111111111</v>
      </c>
      <c r="K74" s="16">
        <f>K73+J74</f>
        <v>2.949120370370371</v>
      </c>
      <c r="L74" s="14">
        <f>G74-G73</f>
        <v>201</v>
      </c>
      <c r="M74" s="14">
        <f>G74-$G$23</f>
        <v>5472</v>
      </c>
      <c r="N74" s="27">
        <v>19</v>
      </c>
      <c r="O74" s="27">
        <v>45</v>
      </c>
      <c r="P74" s="27">
        <f>N74+P73</f>
        <v>1156.71</v>
      </c>
      <c r="Q74" s="27">
        <f>N74*26</f>
        <v>494</v>
      </c>
      <c r="R74" s="18">
        <f>R73+(Q74/1000)</f>
        <v>286.204524</v>
      </c>
      <c r="S74" s="19">
        <v>0.33</v>
      </c>
      <c r="T74" s="20">
        <v>8.42</v>
      </c>
      <c r="U74" s="20">
        <f>U73+T74</f>
        <v>387.2806</v>
      </c>
      <c r="V74" s="20">
        <f>T74/N74</f>
        <v>0.443157894736842</v>
      </c>
      <c r="W74" s="16"/>
      <c r="X74" s="16"/>
      <c r="Y74" s="16"/>
    </row>
    <row r="75" ht="32.05" customHeight="1">
      <c r="A75" t="s" s="11">
        <v>104</v>
      </c>
      <c r="B75" t="s" s="35">
        <v>39</v>
      </c>
      <c r="C75" t="s" s="33">
        <v>49</v>
      </c>
      <c r="D75" s="14">
        <v>7</v>
      </c>
      <c r="E75" s="16"/>
      <c r="F75" s="16"/>
      <c r="G75" s="14">
        <v>79713</v>
      </c>
      <c r="H75" s="25">
        <v>0.6</v>
      </c>
      <c r="I75" s="28">
        <v>0.62</v>
      </c>
      <c r="J75" s="16">
        <v>0.01319444444444444</v>
      </c>
      <c r="K75" s="16">
        <f>K74+J75</f>
        <v>2.962314814814815</v>
      </c>
      <c r="L75" s="14">
        <f>G75-G74</f>
        <v>1</v>
      </c>
      <c r="M75" s="14">
        <f>G75-$G$23</f>
        <v>5473</v>
      </c>
      <c r="N75" s="27">
        <v>2</v>
      </c>
      <c r="O75" s="27">
        <v>7</v>
      </c>
      <c r="P75" s="27">
        <f>N75+P74</f>
        <v>1158.71</v>
      </c>
      <c r="Q75" s="27">
        <f>N75*26</f>
        <v>52</v>
      </c>
      <c r="R75" s="18">
        <f>R74+(Q75/1000)</f>
        <v>286.256524</v>
      </c>
      <c r="S75" s="19">
        <v>0.03</v>
      </c>
      <c r="T75" s="20">
        <v>0.64</v>
      </c>
      <c r="U75" s="20">
        <f>U74+T75</f>
        <v>387.9206</v>
      </c>
      <c r="V75" s="20">
        <f>T75/N75</f>
        <v>0.32</v>
      </c>
      <c r="W75" s="16"/>
      <c r="X75" s="16"/>
      <c r="Y75" s="16"/>
    </row>
    <row r="76" ht="32.05" customHeight="1">
      <c r="A76" t="s" s="11">
        <v>105</v>
      </c>
      <c r="B76" t="s" s="35">
        <v>39</v>
      </c>
      <c r="C76" t="s" s="33">
        <v>106</v>
      </c>
      <c r="D76" s="14">
        <v>7</v>
      </c>
      <c r="E76" s="16"/>
      <c r="F76" s="16"/>
      <c r="G76" s="14">
        <v>79867</v>
      </c>
      <c r="H76" s="28">
        <v>0.62</v>
      </c>
      <c r="I76" s="25">
        <v>0.7</v>
      </c>
      <c r="J76" s="16">
        <v>0.05763888888888889</v>
      </c>
      <c r="K76" s="16">
        <f>K75+J76</f>
        <v>3.019953703703704</v>
      </c>
      <c r="L76" s="14">
        <f>G76-G75</f>
        <v>154</v>
      </c>
      <c r="M76" s="14">
        <f>G76-$G$23</f>
        <v>5627</v>
      </c>
      <c r="N76" s="27">
        <v>7.93</v>
      </c>
      <c r="O76" s="27">
        <v>6</v>
      </c>
      <c r="P76" s="27">
        <f>N76+P75</f>
        <v>1166.64</v>
      </c>
      <c r="Q76" s="27">
        <f>N76*26</f>
        <v>206.18</v>
      </c>
      <c r="R76" s="18">
        <f>R75+(Q76/1000)</f>
        <v>286.462704</v>
      </c>
      <c r="S76" s="19">
        <v>0</v>
      </c>
      <c r="T76" s="20">
        <v>0</v>
      </c>
      <c r="U76" s="20">
        <f>U75+T76</f>
        <v>387.9206</v>
      </c>
      <c r="V76" s="20">
        <f>T76/N76</f>
        <v>0</v>
      </c>
      <c r="W76" s="16"/>
      <c r="X76" s="16"/>
      <c r="Y76" s="16"/>
    </row>
    <row r="77" ht="20.05" customHeight="1">
      <c r="A77" t="s" s="11">
        <v>107</v>
      </c>
      <c r="B77" t="s" s="35">
        <v>39</v>
      </c>
      <c r="C77" t="s" s="33">
        <v>84</v>
      </c>
      <c r="D77" s="14">
        <v>50</v>
      </c>
      <c r="E77" s="16"/>
      <c r="F77" s="16"/>
      <c r="G77" s="14">
        <v>80007</v>
      </c>
      <c r="H77" s="28">
        <v>0.14</v>
      </c>
      <c r="I77" s="25">
        <v>0.5</v>
      </c>
      <c r="J77" s="16">
        <v>0.0103587962962963</v>
      </c>
      <c r="K77" s="16">
        <f>K76+J77</f>
        <v>3.0303125</v>
      </c>
      <c r="L77" s="14">
        <f>G77-G76</f>
        <v>140</v>
      </c>
      <c r="M77" s="14">
        <f>G77-$G$23</f>
        <v>5767</v>
      </c>
      <c r="N77" s="27">
        <v>16.72</v>
      </c>
      <c r="O77" s="27">
        <v>45</v>
      </c>
      <c r="P77" s="27">
        <f>N77+P76</f>
        <v>1183.36</v>
      </c>
      <c r="Q77" s="27">
        <f>N77*26</f>
        <v>434.72</v>
      </c>
      <c r="R77" s="18">
        <f>R76+(Q77/1000)</f>
        <v>286.897424</v>
      </c>
      <c r="S77" s="19">
        <v>0.33</v>
      </c>
      <c r="T77" s="20">
        <v>5.05</v>
      </c>
      <c r="U77" s="20">
        <f>U76+T77</f>
        <v>392.9706</v>
      </c>
      <c r="V77" s="20">
        <f>T77/N77</f>
        <v>0.302033492822967</v>
      </c>
      <c r="W77" s="16"/>
      <c r="X77" s="16"/>
      <c r="Y77" s="16"/>
    </row>
    <row r="78" ht="32.05" customHeight="1">
      <c r="A78" t="s" s="11">
        <v>108</v>
      </c>
      <c r="B78" t="s" s="35">
        <v>39</v>
      </c>
      <c r="C78" t="s" s="33">
        <v>49</v>
      </c>
      <c r="D78" s="14">
        <v>50</v>
      </c>
      <c r="E78" s="16"/>
      <c r="F78" s="16"/>
      <c r="G78" s="14">
        <v>80048</v>
      </c>
      <c r="H78" s="28">
        <v>0.29</v>
      </c>
      <c r="I78" s="28">
        <v>0.79</v>
      </c>
      <c r="J78" s="16">
        <v>0.04375</v>
      </c>
      <c r="K78" s="16">
        <f>K77+J78</f>
        <v>3.0740625</v>
      </c>
      <c r="L78" s="14">
        <f>G78-G77</f>
        <v>41</v>
      </c>
      <c r="M78" s="14">
        <f>G78-$G$23</f>
        <v>5808</v>
      </c>
      <c r="N78" s="27">
        <v>37.1</v>
      </c>
      <c r="O78" s="27">
        <v>35</v>
      </c>
      <c r="P78" s="27">
        <f>N78+P77</f>
        <v>1220.46</v>
      </c>
      <c r="Q78" s="27">
        <f>N78*26</f>
        <v>964.6</v>
      </c>
      <c r="R78" s="18">
        <f>R77+(Q78/1000)</f>
        <v>287.862024</v>
      </c>
      <c r="S78" s="19">
        <v>0.25</v>
      </c>
      <c r="T78" s="20">
        <v>15.91</v>
      </c>
      <c r="U78" s="20">
        <f>U77+T78</f>
        <v>408.8806</v>
      </c>
      <c r="V78" s="20">
        <f>T78/N78</f>
        <v>0.428840970350404</v>
      </c>
      <c r="W78" s="16"/>
      <c r="X78" s="16"/>
      <c r="Y78" s="16"/>
    </row>
    <row r="79" ht="32.05" customHeight="1">
      <c r="A79" t="s" s="11">
        <v>109</v>
      </c>
      <c r="B79" t="s" s="35">
        <v>39</v>
      </c>
      <c r="C79" t="s" s="33">
        <v>49</v>
      </c>
      <c r="D79" s="14">
        <v>50</v>
      </c>
      <c r="E79" s="16"/>
      <c r="F79" s="16"/>
      <c r="G79" s="14">
        <v>80342</v>
      </c>
      <c r="H79" s="28">
        <v>0.15</v>
      </c>
      <c r="I79" s="25">
        <v>0.8</v>
      </c>
      <c r="J79" s="16">
        <v>0.05416666666666667</v>
      </c>
      <c r="K79" s="16">
        <f>K78+J79</f>
        <v>3.128229166666667</v>
      </c>
      <c r="L79" s="14">
        <f>G79-G78</f>
        <v>294</v>
      </c>
      <c r="M79" s="14">
        <f>G79-$G$23</f>
        <v>6102</v>
      </c>
      <c r="N79" s="27">
        <v>33.4</v>
      </c>
      <c r="O79" s="27">
        <v>37</v>
      </c>
      <c r="P79" s="27">
        <f>N79+P78</f>
        <v>1253.86</v>
      </c>
      <c r="Q79" s="27">
        <f>N79*26</f>
        <v>868.4</v>
      </c>
      <c r="R79" s="18">
        <f>R78+(Q79/1000)</f>
        <v>288.730424</v>
      </c>
      <c r="S79" s="19">
        <v>0.25</v>
      </c>
      <c r="T79" s="20">
        <v>19.71</v>
      </c>
      <c r="U79" s="20">
        <f>U78+T79</f>
        <v>428.5906</v>
      </c>
      <c r="V79" s="20">
        <f>T79/N79</f>
        <v>0.590119760479042</v>
      </c>
      <c r="W79" s="16"/>
      <c r="X79" s="16"/>
      <c r="Y79" s="16"/>
    </row>
    <row r="80" ht="32.05" customHeight="1">
      <c r="A80" t="s" s="11">
        <v>110</v>
      </c>
      <c r="B80" t="s" s="35">
        <v>39</v>
      </c>
      <c r="C80" t="s" s="33">
        <v>40</v>
      </c>
      <c r="D80" s="14">
        <v>150</v>
      </c>
      <c r="E80" s="16"/>
      <c r="F80" s="16"/>
      <c r="G80" s="14">
        <v>80443</v>
      </c>
      <c r="H80" s="28">
        <v>0.34</v>
      </c>
      <c r="I80" s="28">
        <v>0.78</v>
      </c>
      <c r="J80" s="16">
        <v>0.02152777777777778</v>
      </c>
      <c r="K80" s="16">
        <f>K79+J80</f>
        <v>3.149756944444444</v>
      </c>
      <c r="L80" s="14">
        <f>G80-G79</f>
        <v>101</v>
      </c>
      <c r="M80" s="14">
        <f>G80-$G$23</f>
        <v>6203</v>
      </c>
      <c r="N80" s="27">
        <v>32</v>
      </c>
      <c r="O80" s="27">
        <v>84</v>
      </c>
      <c r="P80" s="27">
        <f>N80+P79</f>
        <v>1285.86</v>
      </c>
      <c r="Q80" s="27">
        <f>N80*26</f>
        <v>832</v>
      </c>
      <c r="R80" s="18">
        <f>R79+(Q80/1000)</f>
        <v>289.562424</v>
      </c>
      <c r="S80" s="19">
        <v>0.21</v>
      </c>
      <c r="T80" s="20">
        <v>7.33</v>
      </c>
      <c r="U80" s="20">
        <f>U79+T80</f>
        <v>435.9206</v>
      </c>
      <c r="V80" s="20">
        <f>T80/N80</f>
        <v>0.2290625</v>
      </c>
      <c r="W80" s="16"/>
      <c r="X80" s="16"/>
      <c r="Y80" s="16"/>
    </row>
    <row r="81" ht="32.05" customHeight="1">
      <c r="A81" t="s" s="11">
        <v>111</v>
      </c>
      <c r="B81" t="s" s="35">
        <v>39</v>
      </c>
      <c r="C81" t="s" s="33">
        <v>40</v>
      </c>
      <c r="D81" s="14">
        <v>150</v>
      </c>
      <c r="E81" s="16"/>
      <c r="F81" s="16"/>
      <c r="G81" s="14">
        <v>80641</v>
      </c>
      <c r="H81" s="28">
        <v>0.27</v>
      </c>
      <c r="I81" s="28">
        <v>0.8100000000000001</v>
      </c>
      <c r="J81" s="16">
        <v>0.02638888888888889</v>
      </c>
      <c r="K81" s="16">
        <f>K80+J81</f>
        <v>3.176145833333333</v>
      </c>
      <c r="L81" s="14">
        <f>G81-G80</f>
        <v>198</v>
      </c>
      <c r="M81" s="14">
        <f>G81-$G$23</f>
        <v>6401</v>
      </c>
      <c r="N81" s="27">
        <v>39</v>
      </c>
      <c r="O81" s="27">
        <v>84</v>
      </c>
      <c r="P81" s="27">
        <f>N81+P80</f>
        <v>1324.86</v>
      </c>
      <c r="Q81" s="27">
        <f>N81*26</f>
        <v>1014</v>
      </c>
      <c r="R81" s="18">
        <f>R80+(Q81/1000)</f>
        <v>290.576424</v>
      </c>
      <c r="S81" s="19">
        <v>0.21</v>
      </c>
      <c r="T81" s="20">
        <v>9</v>
      </c>
      <c r="U81" s="20">
        <f>U80+T81</f>
        <v>444.9206</v>
      </c>
      <c r="V81" s="20">
        <f>T81/N81</f>
        <v>0.230769230769231</v>
      </c>
      <c r="W81" s="16"/>
      <c r="X81" s="16"/>
      <c r="Y81" s="16"/>
    </row>
    <row r="82" ht="32.05" customHeight="1">
      <c r="A82" t="s" s="11">
        <v>112</v>
      </c>
      <c r="B82" t="s" s="35">
        <v>39</v>
      </c>
      <c r="C82" t="s" s="33">
        <v>84</v>
      </c>
      <c r="D82" s="14">
        <v>50</v>
      </c>
      <c r="E82" s="16"/>
      <c r="F82" s="16"/>
      <c r="G82" s="14">
        <v>80806</v>
      </c>
      <c r="H82" s="25">
        <v>0.3</v>
      </c>
      <c r="I82" s="25">
        <v>0.8</v>
      </c>
      <c r="J82" s="16">
        <v>0.02430555555555556</v>
      </c>
      <c r="K82" s="16">
        <f>K81+J82</f>
        <v>3.200451388888889</v>
      </c>
      <c r="L82" s="14">
        <f>G82-G81</f>
        <v>165</v>
      </c>
      <c r="M82" s="14">
        <f>G82-$G$23</f>
        <v>6566</v>
      </c>
      <c r="N82" s="27">
        <v>27.7</v>
      </c>
      <c r="O82" s="27">
        <v>45</v>
      </c>
      <c r="P82" s="27">
        <f>N82+P81</f>
        <v>1352.56</v>
      </c>
      <c r="Q82" s="27">
        <f>N82*26</f>
        <v>720.2</v>
      </c>
      <c r="R82" s="18">
        <f>R81+(Q82/1000)</f>
        <v>291.296624</v>
      </c>
      <c r="S82" s="19">
        <v>0.3</v>
      </c>
      <c r="T82" s="20">
        <v>11.86</v>
      </c>
      <c r="U82" s="20">
        <f>U81+T82</f>
        <v>456.7806</v>
      </c>
      <c r="V82" s="20">
        <f>T82/N82</f>
        <v>0.428158844765343</v>
      </c>
      <c r="W82" s="16"/>
      <c r="X82" s="16"/>
      <c r="Y82" s="16"/>
    </row>
    <row r="83" ht="32.05" customHeight="1">
      <c r="A83" t="s" s="11">
        <v>113</v>
      </c>
      <c r="B83" t="s" s="35">
        <v>39</v>
      </c>
      <c r="C83" t="s" s="33">
        <v>84</v>
      </c>
      <c r="D83" s="14">
        <v>50</v>
      </c>
      <c r="E83" s="16"/>
      <c r="F83" s="16"/>
      <c r="G83" s="14">
        <v>81032</v>
      </c>
      <c r="H83" s="28">
        <v>0.15</v>
      </c>
      <c r="I83" s="28">
        <v>0.59</v>
      </c>
      <c r="J83" s="16">
        <v>0.02708333333333333</v>
      </c>
      <c r="K83" s="16">
        <f>K82+J83</f>
        <v>3.227534722222222</v>
      </c>
      <c r="L83" s="14">
        <f>G83-G82</f>
        <v>226</v>
      </c>
      <c r="M83" s="14">
        <f>G83-$G$23</f>
        <v>6792</v>
      </c>
      <c r="N83" s="27">
        <v>29.98</v>
      </c>
      <c r="O83" s="27">
        <v>48</v>
      </c>
      <c r="P83" s="27">
        <f>N83+P82</f>
        <v>1382.54</v>
      </c>
      <c r="Q83" s="27">
        <f>N83*26</f>
        <v>779.48</v>
      </c>
      <c r="R83" s="18">
        <f>R82+(Q83/1000)</f>
        <v>292.076104</v>
      </c>
      <c r="S83" s="19">
        <v>0.3</v>
      </c>
      <c r="T83" s="20">
        <v>13.37</v>
      </c>
      <c r="U83" s="20">
        <f>U82+T83</f>
        <v>470.1506</v>
      </c>
      <c r="V83" s="20">
        <f>T83/N83</f>
        <v>0.445963975983989</v>
      </c>
      <c r="W83" s="16"/>
      <c r="X83" s="16"/>
      <c r="Y83" s="16"/>
    </row>
    <row r="84" ht="20.05" customHeight="1">
      <c r="A84" t="s" s="11">
        <v>114</v>
      </c>
      <c r="B84" t="s" s="35">
        <v>39</v>
      </c>
      <c r="C84" t="s" s="33">
        <v>54</v>
      </c>
      <c r="D84" s="14">
        <v>2</v>
      </c>
      <c r="E84" s="16"/>
      <c r="F84" s="16"/>
      <c r="G84" s="14">
        <v>81124</v>
      </c>
      <c r="H84" s="28">
        <v>0.32</v>
      </c>
      <c r="I84" s="28">
        <v>0.32</v>
      </c>
      <c r="J84" s="16">
        <v>0.006944444444444444</v>
      </c>
      <c r="K84" s="16">
        <f>K83+J84</f>
        <v>3.234479166666667</v>
      </c>
      <c r="L84" s="14">
        <f>G84-G83</f>
        <v>92</v>
      </c>
      <c r="M84" s="14">
        <f>G84-$G$23</f>
        <v>6884</v>
      </c>
      <c r="N84" s="27">
        <v>0.5</v>
      </c>
      <c r="O84" s="27">
        <v>1.2</v>
      </c>
      <c r="P84" s="27">
        <f>N84+P83</f>
        <v>1383.04</v>
      </c>
      <c r="Q84" s="27">
        <f>N84*26</f>
        <v>13</v>
      </c>
      <c r="R84" s="18">
        <f>R83+(Q84/1000)</f>
        <v>292.089104</v>
      </c>
      <c r="S84" s="19">
        <v>0</v>
      </c>
      <c r="T84" s="20">
        <v>0</v>
      </c>
      <c r="U84" s="20">
        <f>U83+T84</f>
        <v>470.1506</v>
      </c>
      <c r="V84" s="20">
        <f>T84/N84</f>
        <v>0</v>
      </c>
      <c r="W84" s="16"/>
      <c r="X84" s="16"/>
      <c r="Y84" s="16"/>
    </row>
    <row r="85" ht="32.05" customHeight="1">
      <c r="A85" t="s" s="11">
        <v>115</v>
      </c>
      <c r="B85" t="s" s="35">
        <v>39</v>
      </c>
      <c r="C85" t="s" s="33">
        <v>40</v>
      </c>
      <c r="D85" s="14">
        <v>150</v>
      </c>
      <c r="E85" s="16"/>
      <c r="F85" s="16"/>
      <c r="G85" s="14">
        <v>81170</v>
      </c>
      <c r="H85" s="28">
        <v>0.21</v>
      </c>
      <c r="I85" s="28">
        <v>0.22</v>
      </c>
      <c r="J85" s="16">
        <v>0.002083333333333333</v>
      </c>
      <c r="K85" s="16">
        <f>K84+J85</f>
        <v>3.2365625</v>
      </c>
      <c r="L85" s="14">
        <f>G85-G84</f>
        <v>46</v>
      </c>
      <c r="M85" s="14">
        <f>G85-$G$23</f>
        <v>6930</v>
      </c>
      <c r="N85" s="27">
        <v>1</v>
      </c>
      <c r="O85" s="27">
        <v>45</v>
      </c>
      <c r="P85" s="27">
        <f>N85+P84</f>
        <v>1384.04</v>
      </c>
      <c r="Q85" s="27">
        <f>N85*26</f>
        <v>26</v>
      </c>
      <c r="R85" s="18">
        <f>R84+(Q85/1000)</f>
        <v>292.115104</v>
      </c>
      <c r="S85" s="19">
        <v>0.21</v>
      </c>
      <c r="T85" s="20">
        <v>0.76</v>
      </c>
      <c r="U85" s="20">
        <f>U84+T85</f>
        <v>470.9106</v>
      </c>
      <c r="V85" s="20">
        <f>T85/N85</f>
        <v>0.76</v>
      </c>
      <c r="W85" s="16"/>
      <c r="X85" s="16"/>
      <c r="Y85" s="16"/>
    </row>
    <row r="86" ht="32.05" customHeight="1">
      <c r="A86" t="s" s="11">
        <v>116</v>
      </c>
      <c r="B86" t="s" s="35">
        <v>39</v>
      </c>
      <c r="C86" t="s" s="33">
        <v>40</v>
      </c>
      <c r="D86" s="14">
        <v>150</v>
      </c>
      <c r="E86" s="16"/>
      <c r="F86" s="16"/>
      <c r="G86" s="14">
        <v>81170</v>
      </c>
      <c r="H86" s="28">
        <v>0.22</v>
      </c>
      <c r="I86" s="28">
        <v>0.23</v>
      </c>
      <c r="J86" s="16">
        <v>0.001388888888888889</v>
      </c>
      <c r="K86" s="16">
        <f>K85+J86</f>
        <v>3.237951388888889</v>
      </c>
      <c r="L86" s="14">
        <f>G86-G85</f>
        <v>0</v>
      </c>
      <c r="M86" s="14">
        <f>G86-$G$23</f>
        <v>6930</v>
      </c>
      <c r="N86" s="27">
        <v>1</v>
      </c>
      <c r="O86" s="27">
        <v>45</v>
      </c>
      <c r="P86" s="27">
        <f>N86+P85</f>
        <v>1385.04</v>
      </c>
      <c r="Q86" s="27">
        <f>N86*26</f>
        <v>26</v>
      </c>
      <c r="R86" s="18">
        <f>R85+(Q86/1000)</f>
        <v>292.141104</v>
      </c>
      <c r="S86" s="19">
        <v>0.21</v>
      </c>
      <c r="T86" s="20">
        <v>0.46</v>
      </c>
      <c r="U86" s="20">
        <f>U85+T86</f>
        <v>471.3706</v>
      </c>
      <c r="V86" s="20">
        <f>T86/N86</f>
        <v>0.46</v>
      </c>
      <c r="W86" s="16"/>
      <c r="X86" s="16"/>
      <c r="Y86" s="16"/>
    </row>
    <row r="87" ht="32.05" customHeight="1">
      <c r="A87" t="s" s="11">
        <v>117</v>
      </c>
      <c r="B87" t="s" s="35">
        <v>39</v>
      </c>
      <c r="C87" t="s" s="33">
        <v>40</v>
      </c>
      <c r="D87" s="14">
        <v>150</v>
      </c>
      <c r="E87" s="16"/>
      <c r="F87" s="16"/>
      <c r="G87" s="14">
        <v>81170</v>
      </c>
      <c r="H87" s="28">
        <v>0.23</v>
      </c>
      <c r="I87" s="28">
        <v>0.79</v>
      </c>
      <c r="J87" s="16">
        <v>0.02696759259259259</v>
      </c>
      <c r="K87" s="16">
        <f>K85+J87</f>
        <v>3.263530092592593</v>
      </c>
      <c r="L87" s="14">
        <f>G87-G85</f>
        <v>0</v>
      </c>
      <c r="M87" s="14">
        <f>G87-$G$23</f>
        <v>6930</v>
      </c>
      <c r="N87" s="27">
        <v>40</v>
      </c>
      <c r="O87" s="27">
        <v>84</v>
      </c>
      <c r="P87" s="27">
        <f>N87+P86</f>
        <v>1425.04</v>
      </c>
      <c r="Q87" s="27">
        <f>N87*26</f>
        <v>1040</v>
      </c>
      <c r="R87" s="18">
        <f>R86+(Q87/1000)</f>
        <v>293.181104</v>
      </c>
      <c r="S87" s="19">
        <v>0.21</v>
      </c>
      <c r="T87" s="20">
        <v>9.199999999999999</v>
      </c>
      <c r="U87" s="20">
        <f>U85+T87</f>
        <v>480.1106</v>
      </c>
      <c r="V87" s="20">
        <f>T87/N87</f>
        <v>0.23</v>
      </c>
      <c r="W87" s="16"/>
      <c r="X87" s="16"/>
      <c r="Y87" s="16"/>
    </row>
    <row r="88" ht="20.05" customHeight="1">
      <c r="A88" t="s" s="11">
        <v>118</v>
      </c>
      <c r="B88" t="s" s="35">
        <v>39</v>
      </c>
      <c r="C88" t="s" s="33">
        <v>54</v>
      </c>
      <c r="D88" s="14">
        <v>2</v>
      </c>
      <c r="E88" s="16"/>
      <c r="F88" s="16"/>
      <c r="G88" s="14">
        <v>81273</v>
      </c>
      <c r="H88" s="25">
        <v>0.6</v>
      </c>
      <c r="I88" s="25">
        <v>0.7</v>
      </c>
      <c r="J88" s="16">
        <v>0.625</v>
      </c>
      <c r="K88" s="16">
        <f>K85+J88</f>
        <v>3.8615625</v>
      </c>
      <c r="L88" s="14">
        <f>G88-G85</f>
        <v>103</v>
      </c>
      <c r="M88" s="14">
        <f>G88-$G$23</f>
        <v>7033</v>
      </c>
      <c r="N88" s="27">
        <v>18</v>
      </c>
      <c r="O88" s="27">
        <v>1.2</v>
      </c>
      <c r="P88" s="27">
        <f>N88+P87</f>
        <v>1443.04</v>
      </c>
      <c r="Q88" s="27">
        <f>N88*26</f>
        <v>468</v>
      </c>
      <c r="R88" s="18">
        <f>R87+(Q88/1000)</f>
        <v>293.649104</v>
      </c>
      <c r="S88" s="19">
        <v>0</v>
      </c>
      <c r="T88" s="20">
        <v>0</v>
      </c>
      <c r="U88" s="20">
        <f>U85+T88</f>
        <v>470.9106</v>
      </c>
      <c r="V88" s="20">
        <f>T88/N88</f>
        <v>0</v>
      </c>
      <c r="W88" s="16"/>
      <c r="X88" s="16"/>
      <c r="Y88" s="16"/>
    </row>
    <row r="89" ht="32.05" customHeight="1">
      <c r="A89" t="s" s="11">
        <v>119</v>
      </c>
      <c r="B89" t="s" s="35">
        <v>39</v>
      </c>
      <c r="C89" t="s" s="33">
        <v>40</v>
      </c>
      <c r="D89" s="14">
        <v>150</v>
      </c>
      <c r="E89" s="16"/>
      <c r="F89" s="16"/>
      <c r="G89" s="14">
        <v>81323</v>
      </c>
      <c r="H89" s="28">
        <v>0.65</v>
      </c>
      <c r="I89" s="28">
        <v>0.91</v>
      </c>
      <c r="J89" s="16">
        <v>0.02327546296296296</v>
      </c>
      <c r="K89" s="16">
        <f>K88+J89</f>
        <v>3.884837962962963</v>
      </c>
      <c r="L89" s="14">
        <f>G89-G88</f>
        <v>50</v>
      </c>
      <c r="M89" s="14">
        <f>G89-$G$23</f>
        <v>7083</v>
      </c>
      <c r="N89" s="27">
        <v>19</v>
      </c>
      <c r="O89" s="27">
        <v>64</v>
      </c>
      <c r="P89" s="27">
        <f>N89+P88</f>
        <v>1462.04</v>
      </c>
      <c r="Q89" s="27">
        <f>N89*26</f>
        <v>494</v>
      </c>
      <c r="R89" s="18">
        <f>R88+(Q89/1000)</f>
        <v>294.143104</v>
      </c>
      <c r="S89" s="19">
        <v>0.21</v>
      </c>
      <c r="T89" s="20">
        <v>7.94</v>
      </c>
      <c r="U89" s="20">
        <f>U88+T89</f>
        <v>478.8506</v>
      </c>
      <c r="V89" s="20">
        <f>T89/N89</f>
        <v>0.417894736842105</v>
      </c>
      <c r="W89" s="16"/>
      <c r="X89" s="16"/>
      <c r="Y89" s="16"/>
    </row>
    <row r="90" ht="20.05" customHeight="1">
      <c r="A90" t="s" s="11">
        <v>120</v>
      </c>
      <c r="B90" t="s" s="35">
        <v>39</v>
      </c>
      <c r="C90" t="s" s="33">
        <v>54</v>
      </c>
      <c r="D90" s="14">
        <v>2</v>
      </c>
      <c r="E90" s="16"/>
      <c r="F90" s="16"/>
      <c r="G90" s="14">
        <v>81364</v>
      </c>
      <c r="H90" s="28">
        <v>0.84</v>
      </c>
      <c r="I90" s="28">
        <v>0.99</v>
      </c>
      <c r="J90" s="16">
        <v>0.02327546296296296</v>
      </c>
      <c r="K90" s="16">
        <f>K89+J90</f>
        <v>3.908113425925926</v>
      </c>
      <c r="L90" s="14">
        <f>G90-G89</f>
        <v>41</v>
      </c>
      <c r="M90" s="14">
        <f>G90-$G$23</f>
        <v>7124</v>
      </c>
      <c r="N90" s="27">
        <v>18</v>
      </c>
      <c r="O90" s="27">
        <v>1.2</v>
      </c>
      <c r="P90" s="27">
        <f>N90+P89</f>
        <v>1480.04</v>
      </c>
      <c r="Q90" s="27">
        <f>N90*26</f>
        <v>468</v>
      </c>
      <c r="R90" s="18">
        <f>R89+(Q90/1000)</f>
        <v>294.611104</v>
      </c>
      <c r="S90" s="19">
        <v>0</v>
      </c>
      <c r="T90" s="20">
        <v>0</v>
      </c>
      <c r="U90" s="20">
        <f>U89+T90</f>
        <v>478.8506</v>
      </c>
      <c r="V90" s="20">
        <f>T90/N90</f>
        <v>0</v>
      </c>
      <c r="W90" s="16"/>
      <c r="X90" s="16"/>
      <c r="Y90" s="16"/>
    </row>
    <row r="91" ht="32.05" customHeight="1">
      <c r="A91" t="s" s="11">
        <v>121</v>
      </c>
      <c r="B91" t="s" s="35">
        <v>39</v>
      </c>
      <c r="C91" t="s" s="33">
        <v>122</v>
      </c>
      <c r="D91" s="14">
        <v>100</v>
      </c>
      <c r="E91" s="16"/>
      <c r="F91" s="16"/>
      <c r="G91" s="14">
        <v>81586</v>
      </c>
      <c r="H91" s="28">
        <v>0.45</v>
      </c>
      <c r="I91" s="25">
        <v>0.8</v>
      </c>
      <c r="J91" s="16">
        <v>0.01902777777777778</v>
      </c>
      <c r="K91" s="16">
        <f>K90+J91</f>
        <v>3.927141203703704</v>
      </c>
      <c r="L91" s="14">
        <f>G91-G90</f>
        <v>222</v>
      </c>
      <c r="M91" s="14">
        <f>G91-$G$23</f>
        <v>7346</v>
      </c>
      <c r="N91" s="27">
        <v>27.25</v>
      </c>
      <c r="O91" s="27">
        <v>83</v>
      </c>
      <c r="P91" s="27">
        <f>N91+P90</f>
        <v>1507.29</v>
      </c>
      <c r="Q91" s="27">
        <f>N91*1.2</f>
        <v>32.7</v>
      </c>
      <c r="R91" s="18">
        <f>R90+(Q91/1000)</f>
        <v>294.643804</v>
      </c>
      <c r="S91" s="19">
        <v>0.3</v>
      </c>
      <c r="T91" s="20">
        <v>9.26</v>
      </c>
      <c r="U91" s="20">
        <f>U90+T91</f>
        <v>488.1106</v>
      </c>
      <c r="V91" s="20">
        <f>T91/N91</f>
        <v>0.339816513761468</v>
      </c>
      <c r="W91" s="16"/>
      <c r="X91" s="16"/>
      <c r="Y91" s="16"/>
    </row>
    <row r="92" ht="32.05" customHeight="1">
      <c r="A92" t="s" s="11">
        <v>123</v>
      </c>
      <c r="B92" t="s" s="35">
        <v>39</v>
      </c>
      <c r="C92" t="s" s="33">
        <v>122</v>
      </c>
      <c r="D92" s="14">
        <v>100</v>
      </c>
      <c r="E92" s="16"/>
      <c r="F92" s="16"/>
      <c r="G92" s="14">
        <v>81789</v>
      </c>
      <c r="H92" s="28">
        <v>0.22</v>
      </c>
      <c r="I92" s="28">
        <v>0.8100000000000001</v>
      </c>
      <c r="J92" s="16">
        <v>0.02767361111111111</v>
      </c>
      <c r="K92" s="16">
        <f>K91+J92</f>
        <v>3.954814814814815</v>
      </c>
      <c r="L92" s="14">
        <f>G92-G91</f>
        <v>203</v>
      </c>
      <c r="M92" s="14">
        <f>G92-$G$23</f>
        <v>7549</v>
      </c>
      <c r="N92" s="27">
        <v>40.95</v>
      </c>
      <c r="O92" s="27">
        <v>73</v>
      </c>
      <c r="P92" s="27">
        <f>N92+P91</f>
        <v>1548.24</v>
      </c>
      <c r="Q92" s="27">
        <f>N92*1.2</f>
        <v>49.14</v>
      </c>
      <c r="R92" s="18">
        <f>R91+(Q92/1000)</f>
        <v>294.692944</v>
      </c>
      <c r="S92" s="19">
        <v>0.3</v>
      </c>
      <c r="T92" s="20">
        <v>14</v>
      </c>
      <c r="U92" s="20">
        <f>U91+T92</f>
        <v>502.1106</v>
      </c>
      <c r="V92" s="20">
        <f>T92/N92</f>
        <v>0.341880341880342</v>
      </c>
      <c r="W92" s="16"/>
      <c r="X92" s="16"/>
      <c r="Y92" s="16"/>
    </row>
    <row r="93" ht="32.05" customHeight="1">
      <c r="A93" t="s" s="11">
        <v>124</v>
      </c>
      <c r="B93" t="s" s="35">
        <v>39</v>
      </c>
      <c r="C93" t="s" s="33">
        <v>122</v>
      </c>
      <c r="D93" s="14">
        <v>50</v>
      </c>
      <c r="E93" s="16"/>
      <c r="F93" s="16"/>
      <c r="G93" s="14">
        <v>81952</v>
      </c>
      <c r="H93" s="28">
        <v>0.37</v>
      </c>
      <c r="I93" s="28">
        <v>0.58</v>
      </c>
      <c r="J93" s="16">
        <v>0.01365740740740741</v>
      </c>
      <c r="K93" s="16">
        <f>K92+J93</f>
        <v>3.968472222222222</v>
      </c>
      <c r="L93" s="14">
        <f>G93-G92</f>
        <v>163</v>
      </c>
      <c r="M93" s="14">
        <f>G93-$G$23</f>
        <v>7712</v>
      </c>
      <c r="N93" s="27">
        <v>15</v>
      </c>
      <c r="O93" s="27">
        <v>48</v>
      </c>
      <c r="P93" s="27">
        <f>N93+P92</f>
        <v>1563.24</v>
      </c>
      <c r="Q93" s="27">
        <f>N93*1.2</f>
        <v>18</v>
      </c>
      <c r="R93" s="18">
        <f>R92+(Q93/1000)</f>
        <v>294.710944</v>
      </c>
      <c r="S93" s="19">
        <v>0.18</v>
      </c>
      <c r="T93" s="20">
        <v>4.06</v>
      </c>
      <c r="U93" s="20">
        <f>U92+T93</f>
        <v>506.1706</v>
      </c>
      <c r="V93" s="20">
        <f>T93/N93</f>
        <v>0.270666666666667</v>
      </c>
      <c r="W93" s="16"/>
      <c r="X93" s="16"/>
      <c r="Y93" s="16"/>
    </row>
    <row r="94" ht="32.05" customHeight="1">
      <c r="A94" t="s" s="11">
        <v>125</v>
      </c>
      <c r="B94" t="s" s="35">
        <v>39</v>
      </c>
      <c r="C94" t="s" s="33">
        <v>122</v>
      </c>
      <c r="D94" s="14">
        <v>50</v>
      </c>
      <c r="E94" s="16"/>
      <c r="F94" s="16"/>
      <c r="G94" s="14">
        <v>81952</v>
      </c>
      <c r="H94" s="28">
        <v>0.58</v>
      </c>
      <c r="I94" s="25">
        <v>0.8</v>
      </c>
      <c r="J94" s="16">
        <v>0.01538194444444444</v>
      </c>
      <c r="K94" s="16">
        <f>K93+J94</f>
        <v>3.983854166666667</v>
      </c>
      <c r="L94" s="14">
        <f>G94-G93</f>
        <v>0</v>
      </c>
      <c r="M94" s="14">
        <f>G94-$G$23</f>
        <v>7712</v>
      </c>
      <c r="N94" s="27">
        <v>17.03</v>
      </c>
      <c r="O94" s="27">
        <v>49</v>
      </c>
      <c r="P94" s="27">
        <f>N94+P93</f>
        <v>1580.27</v>
      </c>
      <c r="Q94" s="27">
        <f>N94*1.2</f>
        <v>20.436</v>
      </c>
      <c r="R94" s="18">
        <f>R93+(Q94/1000)</f>
        <v>294.73138</v>
      </c>
      <c r="S94" s="19">
        <v>0.18</v>
      </c>
      <c r="T94" s="20">
        <v>4.57</v>
      </c>
      <c r="U94" s="20">
        <f>U93+T94</f>
        <v>510.7406</v>
      </c>
      <c r="V94" s="20">
        <f>T94/N94</f>
        <v>0.268349970640047</v>
      </c>
      <c r="W94" s="16"/>
      <c r="X94" s="16"/>
      <c r="Y94" s="16"/>
    </row>
    <row r="95" ht="32.05" customHeight="1">
      <c r="A95" t="s" s="11">
        <v>126</v>
      </c>
      <c r="B95" t="s" s="35">
        <v>39</v>
      </c>
      <c r="C95" t="s" s="33">
        <v>49</v>
      </c>
      <c r="D95" s="14">
        <v>50</v>
      </c>
      <c r="E95" s="16"/>
      <c r="F95" s="16"/>
      <c r="G95" s="14">
        <v>82167</v>
      </c>
      <c r="H95" s="28">
        <v>0.15</v>
      </c>
      <c r="I95" s="28">
        <v>0.23</v>
      </c>
      <c r="J95" s="16">
        <v>0.01032407407407407</v>
      </c>
      <c r="K95" s="16">
        <f>K94+J95</f>
        <v>3.994178240740741</v>
      </c>
      <c r="L95" s="14">
        <f>G95-G94</f>
        <v>215</v>
      </c>
      <c r="M95" s="14">
        <f>G95-$G$23</f>
        <v>7927</v>
      </c>
      <c r="N95" s="27">
        <v>8.1</v>
      </c>
      <c r="O95" s="27">
        <v>33</v>
      </c>
      <c r="P95" s="27">
        <f>N95+P94</f>
        <v>1588.37</v>
      </c>
      <c r="Q95" s="27">
        <f>N95*300</f>
        <v>2430</v>
      </c>
      <c r="R95" s="18">
        <f>R94+(Q95/1000)</f>
        <v>297.16138</v>
      </c>
      <c r="S95" s="19">
        <v>0.21</v>
      </c>
      <c r="T95" s="20">
        <v>3.71</v>
      </c>
      <c r="U95" s="20">
        <f>U94+T95</f>
        <v>514.4506</v>
      </c>
      <c r="V95" s="20">
        <f>T95/N95</f>
        <v>0.458024691358025</v>
      </c>
      <c r="W95" s="16"/>
      <c r="X95" s="16"/>
      <c r="Y95" s="16"/>
    </row>
    <row r="96" ht="32.05" customHeight="1">
      <c r="A96" t="s" s="11">
        <v>127</v>
      </c>
      <c r="B96" t="s" s="35">
        <v>39</v>
      </c>
      <c r="C96" t="s" s="33">
        <v>49</v>
      </c>
      <c r="D96" s="14">
        <v>50</v>
      </c>
      <c r="E96" s="16"/>
      <c r="F96" s="16"/>
      <c r="G96" s="14">
        <v>82209</v>
      </c>
      <c r="H96" s="28">
        <v>0.12</v>
      </c>
      <c r="I96" s="25">
        <v>0.7</v>
      </c>
      <c r="J96" s="16">
        <v>0.04091435185185185</v>
      </c>
      <c r="K96" s="16">
        <f>K95+J96</f>
        <v>4.035092592592592</v>
      </c>
      <c r="L96" s="14">
        <f>G96-G95</f>
        <v>42</v>
      </c>
      <c r="M96" s="14">
        <f>G96-$G$23</f>
        <v>7969</v>
      </c>
      <c r="N96" s="27">
        <v>42.5</v>
      </c>
      <c r="O96" s="27">
        <v>45</v>
      </c>
      <c r="P96" s="27">
        <f>N96+P95</f>
        <v>1630.87</v>
      </c>
      <c r="Q96" s="27">
        <f>N96*300</f>
        <v>12750</v>
      </c>
      <c r="R96" s="18">
        <f>R95+(Q96/1000)</f>
        <v>309.91138</v>
      </c>
      <c r="S96" s="19">
        <v>0.21</v>
      </c>
      <c r="T96" s="20">
        <v>14.72</v>
      </c>
      <c r="U96" s="20">
        <f>U95+T96</f>
        <v>529.1706</v>
      </c>
      <c r="V96" s="20">
        <f>T96/N96</f>
        <v>0.346352941176471</v>
      </c>
      <c r="W96" s="16"/>
      <c r="X96" s="16"/>
      <c r="Y96" s="16"/>
    </row>
    <row r="97" ht="44.05" customHeight="1">
      <c r="A97" t="s" s="11">
        <v>128</v>
      </c>
      <c r="B97" t="s" s="35">
        <v>39</v>
      </c>
      <c r="C97" t="s" s="33">
        <v>49</v>
      </c>
      <c r="D97" s="14">
        <v>50</v>
      </c>
      <c r="E97" s="16"/>
      <c r="F97" s="16"/>
      <c r="G97" s="14">
        <v>82389</v>
      </c>
      <c r="H97" s="28">
        <v>0.15</v>
      </c>
      <c r="I97" s="28">
        <v>0.8100000000000001</v>
      </c>
      <c r="J97" s="16">
        <v>0.04079861111111111</v>
      </c>
      <c r="K97" s="16">
        <f>K96+J97</f>
        <v>4.075891203703704</v>
      </c>
      <c r="L97" s="14">
        <f>G97-G96</f>
        <v>180</v>
      </c>
      <c r="M97" s="14">
        <f>G97-$G$23</f>
        <v>8149</v>
      </c>
      <c r="N97" s="27">
        <v>45</v>
      </c>
      <c r="O97" s="27">
        <v>49</v>
      </c>
      <c r="P97" s="27">
        <f>N97+P96</f>
        <v>1675.87</v>
      </c>
      <c r="Q97" s="27">
        <f>N97*300</f>
        <v>13500</v>
      </c>
      <c r="R97" s="18">
        <f>R96+(Q97/1000)</f>
        <v>323.41138</v>
      </c>
      <c r="S97" s="19">
        <v>0.21</v>
      </c>
      <c r="T97" s="20">
        <v>14.68</v>
      </c>
      <c r="U97" s="20">
        <f>U96+T97</f>
        <v>543.8506</v>
      </c>
      <c r="V97" s="20">
        <f>T97/N97</f>
        <v>0.326222222222222</v>
      </c>
      <c r="W97" s="16"/>
      <c r="X97" s="16"/>
      <c r="Y97" s="16"/>
    </row>
    <row r="98" ht="32.05" customHeight="1">
      <c r="A98" t="s" s="11">
        <v>129</v>
      </c>
      <c r="B98" t="s" s="35">
        <v>39</v>
      </c>
      <c r="C98" t="s" s="33">
        <v>49</v>
      </c>
      <c r="D98" s="14">
        <v>50</v>
      </c>
      <c r="E98" s="16"/>
      <c r="F98" s="16"/>
      <c r="G98" s="14">
        <v>82527</v>
      </c>
      <c r="H98" s="28">
        <v>0.44</v>
      </c>
      <c r="I98" s="28">
        <v>0.73</v>
      </c>
      <c r="J98" s="16">
        <v>0.01917824074074074</v>
      </c>
      <c r="K98" s="16">
        <f>K97+J98</f>
        <v>4.095069444444444</v>
      </c>
      <c r="L98" s="14">
        <f>G98-G97</f>
        <v>138</v>
      </c>
      <c r="M98" s="14">
        <f>G98-$G$23</f>
        <v>8287</v>
      </c>
      <c r="N98" s="27">
        <v>21.7</v>
      </c>
      <c r="O98" s="27">
        <v>48</v>
      </c>
      <c r="P98" s="27">
        <f>N98+P97</f>
        <v>1697.57</v>
      </c>
      <c r="Q98" s="27">
        <f>N98*300</f>
        <v>6510</v>
      </c>
      <c r="R98" s="18">
        <f>R97+(Q98/1000)</f>
        <v>329.92138</v>
      </c>
      <c r="S98" s="19">
        <v>0.21</v>
      </c>
      <c r="T98" s="20">
        <v>6.9</v>
      </c>
      <c r="U98" s="20">
        <f>U97+T98</f>
        <v>550.7506</v>
      </c>
      <c r="V98" s="20">
        <f>T98/N98</f>
        <v>0.317972350230415</v>
      </c>
      <c r="W98" s="16"/>
      <c r="X98" s="16"/>
      <c r="Y98" s="16"/>
    </row>
    <row r="99" ht="32.05" customHeight="1">
      <c r="A99" t="s" s="11">
        <v>130</v>
      </c>
      <c r="B99" t="s" s="35">
        <v>39</v>
      </c>
      <c r="C99" t="s" s="33">
        <v>49</v>
      </c>
      <c r="D99" s="14">
        <v>7</v>
      </c>
      <c r="E99" s="16"/>
      <c r="F99" s="16"/>
      <c r="G99" s="14">
        <v>82711</v>
      </c>
      <c r="H99" s="28">
        <v>0.23</v>
      </c>
      <c r="I99" s="28">
        <v>0.24</v>
      </c>
      <c r="J99" s="16">
        <v>0.01111111111111111</v>
      </c>
      <c r="K99" s="16">
        <f>K98+J99</f>
        <v>4.106180555555556</v>
      </c>
      <c r="L99" s="14">
        <f>G99-G98</f>
        <v>184</v>
      </c>
      <c r="M99" s="14">
        <f>G99-$G$23</f>
        <v>8471</v>
      </c>
      <c r="N99" s="27">
        <v>1.5</v>
      </c>
      <c r="O99" s="27">
        <v>7</v>
      </c>
      <c r="P99" s="27">
        <f>N99+P98</f>
        <v>1699.07</v>
      </c>
      <c r="Q99" s="27">
        <f>N99*300</f>
        <v>450</v>
      </c>
      <c r="R99" s="18">
        <f>R98+(Q99/1000)</f>
        <v>330.37138</v>
      </c>
      <c r="S99" s="19">
        <v>0.02</v>
      </c>
      <c r="T99" s="20">
        <v>0.34</v>
      </c>
      <c r="U99" s="20">
        <f>U98+T99</f>
        <v>551.0906</v>
      </c>
      <c r="V99" s="20">
        <f>T99/N99</f>
        <v>0.226666666666667</v>
      </c>
      <c r="W99" s="16"/>
      <c r="X99" s="16"/>
      <c r="Y99" s="16"/>
    </row>
    <row r="100" ht="32.05" customHeight="1">
      <c r="A100" t="s" s="11">
        <v>131</v>
      </c>
      <c r="B100" t="s" s="35">
        <v>39</v>
      </c>
      <c r="C100" t="s" s="33">
        <v>49</v>
      </c>
      <c r="D100" s="14">
        <v>50</v>
      </c>
      <c r="E100" s="16"/>
      <c r="F100" s="16"/>
      <c r="G100" s="14">
        <v>82711</v>
      </c>
      <c r="H100" s="28">
        <v>0.24</v>
      </c>
      <c r="I100" s="25">
        <v>0.8</v>
      </c>
      <c r="J100" s="16">
        <v>0.03958333333333333</v>
      </c>
      <c r="K100" s="16">
        <f>K99+J100</f>
        <v>4.145763888888889</v>
      </c>
      <c r="L100" s="14">
        <f>G100-G99</f>
        <v>0</v>
      </c>
      <c r="M100" s="14">
        <f>G100-$G$23</f>
        <v>8471</v>
      </c>
      <c r="N100" s="27">
        <v>37.7</v>
      </c>
      <c r="O100" s="27">
        <v>37</v>
      </c>
      <c r="P100" s="27">
        <f>N100+P99</f>
        <v>1736.77</v>
      </c>
      <c r="Q100" s="27">
        <f>N100*300</f>
        <v>11310</v>
      </c>
      <c r="R100" s="18">
        <f>R99+(Q100/1000)</f>
        <v>341.68138</v>
      </c>
      <c r="S100" s="19">
        <v>0.25</v>
      </c>
      <c r="T100" s="20">
        <v>14.26</v>
      </c>
      <c r="U100" s="20">
        <f>U99+T100</f>
        <v>565.3506</v>
      </c>
      <c r="V100" s="20">
        <f>T100/N100</f>
        <v>0.378249336870027</v>
      </c>
      <c r="W100" s="16"/>
      <c r="X100" s="16"/>
      <c r="Y100" s="16"/>
    </row>
    <row r="101" ht="20.05" customHeight="1">
      <c r="A101" t="s" s="11">
        <v>132</v>
      </c>
      <c r="B101" s="17"/>
      <c r="C101" s="16"/>
      <c r="D101" s="16"/>
      <c r="E101" s="16"/>
      <c r="F101" s="16"/>
      <c r="G101" s="14">
        <v>82869</v>
      </c>
      <c r="H101" s="16"/>
      <c r="I101" s="16"/>
      <c r="J101" s="16"/>
      <c r="K101" s="16">
        <f>K100+J101</f>
        <v>4.145763888888889</v>
      </c>
      <c r="L101" s="14">
        <f>G101-G100</f>
        <v>158</v>
      </c>
      <c r="M101" s="14">
        <f>G101-$G$23</f>
        <v>8629</v>
      </c>
      <c r="N101" s="27"/>
      <c r="O101" s="27"/>
      <c r="P101" s="27">
        <f>N101+P100</f>
        <v>1736.77</v>
      </c>
      <c r="Q101" s="27">
        <f>N101*2</f>
        <v>0</v>
      </c>
      <c r="R101" s="18">
        <f>R100+(Q101/1000)</f>
        <v>341.68138</v>
      </c>
      <c r="S101" s="19">
        <v>0</v>
      </c>
      <c r="T101" s="20">
        <v>0</v>
      </c>
      <c r="U101" s="20">
        <f>U100+T101</f>
        <v>565.3506</v>
      </c>
      <c r="V101" s="20"/>
      <c r="W101" s="16"/>
      <c r="X101" s="16"/>
      <c r="Y101" s="16"/>
    </row>
    <row r="102" ht="20.05" customHeight="1">
      <c r="A102" t="s" s="11">
        <v>133</v>
      </c>
      <c r="B102" t="s" s="35">
        <v>39</v>
      </c>
      <c r="C102" t="s" s="33">
        <v>54</v>
      </c>
      <c r="D102" s="14">
        <v>7</v>
      </c>
      <c r="E102" s="16"/>
      <c r="F102" s="16"/>
      <c r="G102" s="14">
        <v>82875</v>
      </c>
      <c r="H102" s="28">
        <v>0.38</v>
      </c>
      <c r="I102" s="25">
        <v>0.5</v>
      </c>
      <c r="J102" s="16">
        <v>0.02430555555555556</v>
      </c>
      <c r="K102" s="16">
        <f>K101+J102</f>
        <v>4.170069444444445</v>
      </c>
      <c r="L102" s="14">
        <f>G102-G101</f>
        <v>6</v>
      </c>
      <c r="M102" s="14">
        <f>G102-$G$23</f>
        <v>8635</v>
      </c>
      <c r="N102" s="27">
        <v>3</v>
      </c>
      <c r="O102" s="27">
        <v>6.6</v>
      </c>
      <c r="P102" s="27">
        <f>N102+P101</f>
        <v>1739.77</v>
      </c>
      <c r="Q102" s="27">
        <f>N102*2</f>
        <v>6</v>
      </c>
      <c r="R102" s="18">
        <f>R101+(Q102/1000)</f>
        <v>341.68738</v>
      </c>
      <c r="S102" s="19">
        <v>0</v>
      </c>
      <c r="T102" s="20">
        <v>0</v>
      </c>
      <c r="U102" s="20">
        <f>U101+T102</f>
        <v>565.3506</v>
      </c>
      <c r="V102" s="20">
        <f>T102/N102</f>
        <v>0</v>
      </c>
      <c r="W102" s="16"/>
      <c r="X102" s="16"/>
      <c r="Y102" s="16"/>
    </row>
    <row r="103" ht="32.05" customHeight="1">
      <c r="A103" t="s" s="11">
        <v>134</v>
      </c>
      <c r="B103" t="s" s="35">
        <v>39</v>
      </c>
      <c r="C103" t="s" s="33">
        <v>49</v>
      </c>
      <c r="D103" s="14">
        <v>50</v>
      </c>
      <c r="E103" s="16"/>
      <c r="F103" s="16"/>
      <c r="G103" s="14">
        <v>82920</v>
      </c>
      <c r="H103" s="28">
        <v>0.42</v>
      </c>
      <c r="I103" s="25">
        <v>0.8</v>
      </c>
      <c r="J103" s="16">
        <v>0.03260416666666666</v>
      </c>
      <c r="K103" s="16">
        <f>K102+J103</f>
        <v>4.202673611111111</v>
      </c>
      <c r="L103" s="14">
        <f>G103-G102</f>
        <v>45</v>
      </c>
      <c r="M103" s="14">
        <f>G103-$G$23</f>
        <v>8680</v>
      </c>
      <c r="N103" s="27">
        <v>28</v>
      </c>
      <c r="O103" s="27">
        <v>37</v>
      </c>
      <c r="P103" s="27">
        <f>N103+P102</f>
        <v>1767.77</v>
      </c>
      <c r="Q103" s="27">
        <f>N103*2</f>
        <v>56</v>
      </c>
      <c r="R103" s="18">
        <f>R102+(Q103/1000)</f>
        <v>341.74338</v>
      </c>
      <c r="S103" s="19">
        <v>0.33</v>
      </c>
      <c r="T103" s="20">
        <v>15.65</v>
      </c>
      <c r="U103" s="20">
        <f>U102+T103</f>
        <v>581.0006</v>
      </c>
      <c r="V103" s="20">
        <f>T103/N103</f>
        <v>0.558928571428571</v>
      </c>
      <c r="W103" s="16"/>
      <c r="X103" s="16"/>
      <c r="Y103" s="16"/>
    </row>
    <row r="104" ht="32.05" customHeight="1">
      <c r="A104" t="s" s="11">
        <v>135</v>
      </c>
      <c r="B104" t="s" s="35">
        <v>39</v>
      </c>
      <c r="C104" t="s" s="33">
        <v>106</v>
      </c>
      <c r="D104" s="14">
        <v>7</v>
      </c>
      <c r="E104" s="16"/>
      <c r="F104" s="16"/>
      <c r="G104" s="14">
        <v>83071</v>
      </c>
      <c r="H104" s="28">
        <v>0.42</v>
      </c>
      <c r="I104" s="28">
        <v>0.52</v>
      </c>
      <c r="J104" s="16">
        <v>0.01319444444444444</v>
      </c>
      <c r="K104" s="16">
        <f>K103+J104</f>
        <v>4.215868055555555</v>
      </c>
      <c r="L104" s="14">
        <f>G104-G103</f>
        <v>151</v>
      </c>
      <c r="M104" s="14">
        <f>G104-$G$23</f>
        <v>8831</v>
      </c>
      <c r="N104" s="27">
        <v>2.18</v>
      </c>
      <c r="O104" s="27">
        <v>6</v>
      </c>
      <c r="P104" s="27">
        <f>N104+P103</f>
        <v>1769.95</v>
      </c>
      <c r="Q104" s="27">
        <f>N104*2</f>
        <v>4.36</v>
      </c>
      <c r="R104" s="18">
        <f>R103+(Q104/1000)</f>
        <v>341.74774</v>
      </c>
      <c r="S104" s="19">
        <v>0.033</v>
      </c>
      <c r="T104" s="20">
        <v>0.63</v>
      </c>
      <c r="U104" s="20">
        <f>U103+T104</f>
        <v>581.6306</v>
      </c>
      <c r="V104" s="20">
        <f>T104/N104</f>
        <v>0.288990825688073</v>
      </c>
      <c r="W104" s="16"/>
      <c r="X104" s="16"/>
      <c r="Y104" s="16"/>
    </row>
    <row r="105" ht="20.05" customHeight="1">
      <c r="A105" t="s" s="11">
        <v>136</v>
      </c>
      <c r="B105" t="s" s="35">
        <v>39</v>
      </c>
      <c r="C105" t="s" s="33">
        <v>54</v>
      </c>
      <c r="D105" s="14">
        <v>7</v>
      </c>
      <c r="E105" s="29">
        <v>44770.379988425928</v>
      </c>
      <c r="F105" s="29">
        <v>44770.402905092589</v>
      </c>
      <c r="G105" s="14">
        <v>83104</v>
      </c>
      <c r="H105" s="25">
        <v>0.4</v>
      </c>
      <c r="I105" s="25">
        <v>0.5</v>
      </c>
      <c r="J105" s="16">
        <v>0.02291666666666667</v>
      </c>
      <c r="K105" s="16">
        <f>K104+J105</f>
        <v>4.238784722222222</v>
      </c>
      <c r="L105" s="14">
        <f>G105-G104</f>
        <v>33</v>
      </c>
      <c r="M105" s="14">
        <f>G105-$G$23</f>
        <v>8864</v>
      </c>
      <c r="N105" s="27">
        <v>3</v>
      </c>
      <c r="O105" s="27">
        <v>7</v>
      </c>
      <c r="P105" s="27">
        <f>N105+P104</f>
        <v>1772.95</v>
      </c>
      <c r="Q105" s="27">
        <f>N105*0</f>
        <v>0</v>
      </c>
      <c r="R105" s="18">
        <f>R104+(Q105/1000)</f>
        <v>341.74774</v>
      </c>
      <c r="S105" s="19">
        <v>0</v>
      </c>
      <c r="T105" s="20">
        <v>0</v>
      </c>
      <c r="U105" s="20">
        <f>U104+T105</f>
        <v>581.6306</v>
      </c>
      <c r="V105" s="20">
        <f>T105/N105</f>
        <v>0</v>
      </c>
      <c r="W105" s="16"/>
      <c r="X105" s="16"/>
      <c r="Y105" s="16"/>
    </row>
    <row r="106" ht="20.05" customHeight="1">
      <c r="A106" t="s" s="11">
        <v>137</v>
      </c>
      <c r="B106" t="s" s="35">
        <v>39</v>
      </c>
      <c r="C106" t="s" s="33">
        <v>49</v>
      </c>
      <c r="D106" s="14">
        <v>50</v>
      </c>
      <c r="E106" s="16"/>
      <c r="F106" s="16"/>
      <c r="G106" s="14">
        <v>83167</v>
      </c>
      <c r="H106" s="28">
        <v>0.35</v>
      </c>
      <c r="I106" s="25">
        <v>0.7</v>
      </c>
      <c r="J106" s="16">
        <v>0.0171412037037037</v>
      </c>
      <c r="K106" s="16">
        <f>K105+J106</f>
        <v>4.255925925925926</v>
      </c>
      <c r="L106" s="14">
        <f>G106-G105</f>
        <v>63</v>
      </c>
      <c r="M106" s="14">
        <f>G106-$G$23</f>
        <v>8927</v>
      </c>
      <c r="N106" s="27">
        <v>19.1</v>
      </c>
      <c r="O106" s="27">
        <v>45</v>
      </c>
      <c r="P106" s="27">
        <f>N106+P105</f>
        <v>1792.05</v>
      </c>
      <c r="Q106" s="27">
        <f>N106*2</f>
        <v>38.2</v>
      </c>
      <c r="R106" s="18">
        <f>R105+(Q106/1000)</f>
        <v>341.78594</v>
      </c>
      <c r="S106" s="19">
        <v>0.33</v>
      </c>
      <c r="T106" s="20">
        <v>8.220000000000001</v>
      </c>
      <c r="U106" s="20">
        <f>U105+T106</f>
        <v>589.8506</v>
      </c>
      <c r="V106" s="20">
        <f>T106/N106</f>
        <v>0.430366492146597</v>
      </c>
      <c r="W106" s="16"/>
      <c r="X106" s="16"/>
      <c r="Y106" s="16"/>
    </row>
    <row r="107" ht="32.05" customHeight="1">
      <c r="A107" t="s" s="11">
        <v>138</v>
      </c>
      <c r="B107" t="s" s="35">
        <v>39</v>
      </c>
      <c r="C107" t="s" s="33">
        <v>106</v>
      </c>
      <c r="D107" s="14">
        <v>7</v>
      </c>
      <c r="E107" s="16"/>
      <c r="F107" s="16"/>
      <c r="G107" s="14">
        <v>83283</v>
      </c>
      <c r="H107" s="25">
        <v>0.5</v>
      </c>
      <c r="I107" s="25">
        <v>0.7</v>
      </c>
      <c r="J107" s="16">
        <v>0.1263888888888889</v>
      </c>
      <c r="K107" s="16">
        <f>K106+J107</f>
        <v>4.382314814814815</v>
      </c>
      <c r="L107" s="14">
        <f>G107-G106</f>
        <v>116</v>
      </c>
      <c r="M107" s="14">
        <f>G107-$G$23</f>
        <v>9043</v>
      </c>
      <c r="N107" s="27">
        <v>20.85</v>
      </c>
      <c r="O107" s="27">
        <v>7</v>
      </c>
      <c r="P107" s="27">
        <f>N107+P106</f>
        <v>1812.9</v>
      </c>
      <c r="Q107" s="27">
        <f>N107*2</f>
        <v>41.7</v>
      </c>
      <c r="R107" s="18">
        <f>R106+(Q107/1000)</f>
        <v>341.82764</v>
      </c>
      <c r="S107" s="19">
        <v>0.03</v>
      </c>
      <c r="T107" s="20">
        <v>10.28</v>
      </c>
      <c r="U107" s="20">
        <f>U106+T107</f>
        <v>600.1306</v>
      </c>
      <c r="V107" s="20">
        <f>T107/N107</f>
        <v>0.493045563549161</v>
      </c>
      <c r="W107" s="16"/>
      <c r="X107" s="16"/>
      <c r="Y107" s="16"/>
    </row>
    <row r="108" ht="20.05" customHeight="1">
      <c r="A108" t="s" s="11">
        <v>139</v>
      </c>
      <c r="B108" t="s" s="35">
        <v>39</v>
      </c>
      <c r="C108" t="s" s="33">
        <v>49</v>
      </c>
      <c r="D108" s="14">
        <v>50</v>
      </c>
      <c r="E108" s="16"/>
      <c r="F108" s="16"/>
      <c r="G108" s="14">
        <v>83450</v>
      </c>
      <c r="H108" s="28">
        <v>0.35</v>
      </c>
      <c r="I108" s="25">
        <v>0.7</v>
      </c>
      <c r="J108" s="16">
        <v>0.03659722222222223</v>
      </c>
      <c r="K108" s="16">
        <f>K107+J108</f>
        <v>4.418912037037037</v>
      </c>
      <c r="L108" s="14">
        <f>G108-G107</f>
        <v>167</v>
      </c>
      <c r="M108" s="14">
        <f>G108-$G$23</f>
        <v>9210</v>
      </c>
      <c r="N108" s="27">
        <v>39.5</v>
      </c>
      <c r="O108" s="27">
        <v>45</v>
      </c>
      <c r="P108" s="27">
        <f>N108+P107</f>
        <v>1852.4</v>
      </c>
      <c r="Q108" s="27">
        <f>N108*2</f>
        <v>79</v>
      </c>
      <c r="R108" s="18">
        <f>R107+(Q108/1000)</f>
        <v>341.90664</v>
      </c>
      <c r="S108" s="19">
        <v>0.33</v>
      </c>
      <c r="T108" s="20">
        <v>17.56</v>
      </c>
      <c r="U108" s="20">
        <f>U107+T108</f>
        <v>617.6906</v>
      </c>
      <c r="V108" s="20">
        <f>T108/N108</f>
        <v>0.444556962025316</v>
      </c>
      <c r="W108" s="16"/>
      <c r="X108" s="16"/>
      <c r="Y108" s="16"/>
    </row>
    <row r="109" ht="32.05" customHeight="1">
      <c r="A109" t="s" s="11">
        <v>140</v>
      </c>
      <c r="B109" t="s" s="35">
        <v>39</v>
      </c>
      <c r="C109" t="s" s="33">
        <v>49</v>
      </c>
      <c r="D109" s="14">
        <v>50</v>
      </c>
      <c r="E109" s="16"/>
      <c r="F109" s="16"/>
      <c r="G109" s="14">
        <v>83665</v>
      </c>
      <c r="H109" s="28">
        <v>0.35</v>
      </c>
      <c r="I109" s="25">
        <v>0.8</v>
      </c>
      <c r="J109" s="16">
        <v>0.02940972222222222</v>
      </c>
      <c r="K109" s="16">
        <f>K108+J109</f>
        <v>4.448321759259259</v>
      </c>
      <c r="L109" s="14">
        <f>G109-G108</f>
        <v>215</v>
      </c>
      <c r="M109" s="14">
        <f>G109-$G$23</f>
        <v>9425</v>
      </c>
      <c r="N109" s="27">
        <v>32.7</v>
      </c>
      <c r="O109" s="27">
        <v>49</v>
      </c>
      <c r="P109" s="27">
        <f>N109+P108</f>
        <v>1885.1</v>
      </c>
      <c r="Q109" s="27">
        <f>N109*2</f>
        <v>65.40000000000001</v>
      </c>
      <c r="R109" s="18">
        <f>R108+(Q109/1000)</f>
        <v>341.97204</v>
      </c>
      <c r="S109" s="19">
        <v>0.33</v>
      </c>
      <c r="T109" s="20">
        <v>14.11</v>
      </c>
      <c r="U109" s="20">
        <f>U108+T109</f>
        <v>631.8006</v>
      </c>
      <c r="V109" s="20">
        <f>T109/N109</f>
        <v>0.431498470948012</v>
      </c>
      <c r="W109" s="16"/>
      <c r="X109" s="16"/>
      <c r="Y109" s="16"/>
    </row>
    <row r="110" ht="32.05" customHeight="1">
      <c r="A110" t="s" s="11">
        <v>141</v>
      </c>
      <c r="B110" s="17"/>
      <c r="C110" s="16"/>
      <c r="D110" s="16"/>
      <c r="E110" s="16"/>
      <c r="F110" s="16"/>
      <c r="G110" s="14">
        <v>83716</v>
      </c>
      <c r="H110" s="28">
        <v>0.72</v>
      </c>
      <c r="I110" s="28">
        <v>0.71</v>
      </c>
      <c r="J110" s="16"/>
      <c r="K110" s="16">
        <f>K109+J110</f>
        <v>4.448321759259259</v>
      </c>
      <c r="L110" s="14">
        <f>G110-G109</f>
        <v>51</v>
      </c>
      <c r="M110" s="14">
        <f>G110-$G$23</f>
        <v>9476</v>
      </c>
      <c r="N110" s="27"/>
      <c r="O110" s="27"/>
      <c r="P110" s="27">
        <f>N110+P109</f>
        <v>1885.1</v>
      </c>
      <c r="Q110" s="27">
        <f>N110*2</f>
        <v>0</v>
      </c>
      <c r="R110" s="18">
        <f>R109+(Q110/1000)</f>
        <v>341.97204</v>
      </c>
      <c r="S110" s="19">
        <v>0</v>
      </c>
      <c r="T110" s="20">
        <v>0</v>
      </c>
      <c r="U110" s="20">
        <f>U109+T110</f>
        <v>631.8006</v>
      </c>
      <c r="V110" s="20"/>
      <c r="W110" s="16"/>
      <c r="X110" s="16"/>
      <c r="Y110" s="16"/>
    </row>
    <row r="111" ht="32.05" customHeight="1">
      <c r="A111" t="s" s="11">
        <v>142</v>
      </c>
      <c r="B111" t="s" s="35">
        <v>39</v>
      </c>
      <c r="C111" t="s" s="33">
        <v>49</v>
      </c>
      <c r="D111" s="14">
        <v>50</v>
      </c>
      <c r="E111" s="16"/>
      <c r="F111" s="16"/>
      <c r="G111" s="14">
        <v>83847</v>
      </c>
      <c r="H111" s="28">
        <v>0.25</v>
      </c>
      <c r="I111" s="25">
        <v>0.8</v>
      </c>
      <c r="J111" s="16">
        <v>0.02059027777777778</v>
      </c>
      <c r="K111" s="16">
        <f>K110+J111</f>
        <v>4.468912037037037</v>
      </c>
      <c r="L111" s="14">
        <f>G111-G110</f>
        <v>131</v>
      </c>
      <c r="M111" s="14">
        <f>G111-$G$23</f>
        <v>9607</v>
      </c>
      <c r="N111" s="27">
        <v>22.7</v>
      </c>
      <c r="O111" s="27">
        <v>48</v>
      </c>
      <c r="P111" s="27">
        <f>N111+P110</f>
        <v>1907.8</v>
      </c>
      <c r="Q111" s="27">
        <f>N111*300</f>
        <v>6810</v>
      </c>
      <c r="R111" s="18">
        <f>R110+(Q111/1000)</f>
        <v>348.78204</v>
      </c>
      <c r="S111" s="19">
        <v>0.21</v>
      </c>
      <c r="T111" s="20">
        <v>7.41</v>
      </c>
      <c r="U111" s="20">
        <f>U110+T111</f>
        <v>639.2106</v>
      </c>
      <c r="V111" s="20">
        <f>T111/N111</f>
        <v>0.326431718061674</v>
      </c>
      <c r="W111" s="16"/>
      <c r="X111" s="16"/>
      <c r="Y111" s="16"/>
    </row>
    <row r="112" ht="20.05" customHeight="1">
      <c r="A112" t="s" s="11">
        <v>143</v>
      </c>
      <c r="B112" t="s" s="35">
        <v>39</v>
      </c>
      <c r="C112" t="s" s="33">
        <v>49</v>
      </c>
      <c r="D112" s="14">
        <v>7</v>
      </c>
      <c r="E112" s="16"/>
      <c r="F112" s="16"/>
      <c r="G112" s="14">
        <v>83979</v>
      </c>
      <c r="H112" s="28">
        <v>0.28</v>
      </c>
      <c r="I112" s="28">
        <v>0.35</v>
      </c>
      <c r="J112" s="16">
        <v>0.01508101851851852</v>
      </c>
      <c r="K112" s="16">
        <f>K111+J112</f>
        <v>4.483993055555556</v>
      </c>
      <c r="L112" s="14">
        <f>G112-G111</f>
        <v>132</v>
      </c>
      <c r="M112" s="14">
        <f>G112-$G$23</f>
        <v>9739</v>
      </c>
      <c r="N112" s="27">
        <v>2.4</v>
      </c>
      <c r="O112" s="27">
        <v>6</v>
      </c>
      <c r="P112" s="27">
        <f>N112+P111</f>
        <v>1910.2</v>
      </c>
      <c r="Q112" s="27">
        <f>N112*300</f>
        <v>720</v>
      </c>
      <c r="R112" s="18">
        <f>R111+(Q112/1000)</f>
        <v>349.50204</v>
      </c>
      <c r="S112" s="19">
        <v>0.33</v>
      </c>
      <c r="T112" s="20">
        <v>0.55</v>
      </c>
      <c r="U112" s="20">
        <f>U111+T112</f>
        <v>639.7606</v>
      </c>
      <c r="V112" s="20">
        <f>T112/N112</f>
        <v>0.229166666666667</v>
      </c>
      <c r="W112" s="16"/>
      <c r="X112" s="16"/>
      <c r="Y112" s="16"/>
    </row>
    <row r="113" ht="20.05" customHeight="1">
      <c r="A113" t="s" s="11">
        <v>144</v>
      </c>
      <c r="B113" t="s" s="35">
        <v>39</v>
      </c>
      <c r="C113" t="s" s="33">
        <v>49</v>
      </c>
      <c r="D113" s="14">
        <v>50</v>
      </c>
      <c r="E113" s="16"/>
      <c r="F113" s="16"/>
      <c r="G113" s="14">
        <v>83979</v>
      </c>
      <c r="H113" s="28">
        <v>0.35</v>
      </c>
      <c r="I113" s="28">
        <v>0.93</v>
      </c>
      <c r="J113" s="16">
        <v>0.05138888888888889</v>
      </c>
      <c r="K113" s="16">
        <f>K112+J113</f>
        <v>4.535381944444445</v>
      </c>
      <c r="L113" s="14">
        <f>G113-G112</f>
        <v>0</v>
      </c>
      <c r="M113" s="14">
        <f>G113-$G$23</f>
        <v>9739</v>
      </c>
      <c r="N113" s="27">
        <v>49.2</v>
      </c>
      <c r="O113" s="27">
        <v>47</v>
      </c>
      <c r="P113" s="27">
        <f>N113+P112</f>
        <v>1959.4</v>
      </c>
      <c r="Q113" s="27">
        <f>N113*300</f>
        <v>14760</v>
      </c>
      <c r="R113" s="18">
        <f>R112+(Q113/1000)</f>
        <v>364.26204</v>
      </c>
      <c r="S113" s="19">
        <v>0.21</v>
      </c>
      <c r="T113" s="20">
        <v>18.67</v>
      </c>
      <c r="U113" s="20">
        <f>U112+T113</f>
        <v>658.4306</v>
      </c>
      <c r="V113" s="20">
        <f>T113/N113</f>
        <v>0.379471544715447</v>
      </c>
      <c r="W113" s="16"/>
      <c r="X113" s="16"/>
      <c r="Y113" s="16"/>
    </row>
    <row r="114" ht="20.05" customHeight="1">
      <c r="A114" t="s" s="11">
        <v>145</v>
      </c>
      <c r="B114" t="s" s="35">
        <v>39</v>
      </c>
      <c r="C114" t="s" s="33">
        <v>49</v>
      </c>
      <c r="D114" s="14">
        <v>7</v>
      </c>
      <c r="E114" s="16"/>
      <c r="F114" s="16"/>
      <c r="G114" s="14">
        <v>84206</v>
      </c>
      <c r="H114" s="28">
        <v>0.23</v>
      </c>
      <c r="I114" s="28">
        <v>0.24</v>
      </c>
      <c r="J114" s="16">
        <v>0.001655092592592593</v>
      </c>
      <c r="K114" s="16">
        <f>K113+J114</f>
        <v>4.537037037037037</v>
      </c>
      <c r="L114" s="14">
        <f>G114-G113</f>
        <v>227</v>
      </c>
      <c r="M114" s="14">
        <f>G114-$G$23</f>
        <v>9966</v>
      </c>
      <c r="N114" s="27">
        <v>0.238</v>
      </c>
      <c r="O114" s="27">
        <v>7</v>
      </c>
      <c r="P114" s="27">
        <f>N114+P113</f>
        <v>1959.638</v>
      </c>
      <c r="Q114" s="27">
        <f>N114*300</f>
        <v>71.40000000000001</v>
      </c>
      <c r="R114" s="18">
        <f>R113+(Q114/1000)</f>
        <v>364.33344</v>
      </c>
      <c r="S114" s="19">
        <v>0.03</v>
      </c>
      <c r="T114" s="20">
        <v>0.06</v>
      </c>
      <c r="U114" s="20">
        <f>U113+T114</f>
        <v>658.4906</v>
      </c>
      <c r="V114" s="20">
        <f>T114/N114</f>
        <v>0.252100840336134</v>
      </c>
      <c r="W114" s="16"/>
      <c r="X114" s="16"/>
      <c r="Y114" s="16"/>
    </row>
    <row r="115" ht="20.05" customHeight="1">
      <c r="A115" t="s" s="11">
        <v>145</v>
      </c>
      <c r="B115" t="s" s="35">
        <v>39</v>
      </c>
      <c r="C115" t="s" s="33">
        <v>49</v>
      </c>
      <c r="D115" s="14">
        <v>50</v>
      </c>
      <c r="E115" s="16"/>
      <c r="F115" s="16"/>
      <c r="G115" s="14">
        <v>84206</v>
      </c>
      <c r="H115" s="28">
        <v>0.24</v>
      </c>
      <c r="I115" s="28">
        <v>0.8100000000000001</v>
      </c>
      <c r="J115" s="16">
        <v>0.04305555555555556</v>
      </c>
      <c r="K115" s="16">
        <f>K114+J115</f>
        <v>4.580092592592592</v>
      </c>
      <c r="L115" s="14">
        <f>G115-G114</f>
        <v>0</v>
      </c>
      <c r="M115" s="14">
        <f>G115-$G$23</f>
        <v>9966</v>
      </c>
      <c r="N115" s="27">
        <v>41.7</v>
      </c>
      <c r="O115" s="27">
        <v>43</v>
      </c>
      <c r="P115" s="27">
        <f>N115+P114</f>
        <v>2001.338</v>
      </c>
      <c r="Q115" s="27">
        <f>N115*300</f>
        <v>12510</v>
      </c>
      <c r="R115" s="18">
        <f>R114+(Q115/1000)</f>
        <v>376.84344</v>
      </c>
      <c r="S115" s="19">
        <v>0.21</v>
      </c>
      <c r="T115" s="20">
        <v>15.52</v>
      </c>
      <c r="U115" s="20">
        <f>U114+T115</f>
        <v>674.0106</v>
      </c>
      <c r="V115" s="20">
        <f>T115/N115</f>
        <v>0.372182254196643</v>
      </c>
      <c r="W115" s="16"/>
      <c r="X115" s="16"/>
      <c r="Y115" s="16"/>
    </row>
    <row r="116" ht="20.05" customHeight="1">
      <c r="A116" t="s" s="11">
        <v>146</v>
      </c>
      <c r="B116" t="s" s="35">
        <v>39</v>
      </c>
      <c r="C116" t="s" s="33">
        <v>122</v>
      </c>
      <c r="D116" s="14">
        <v>50</v>
      </c>
      <c r="E116" s="16"/>
      <c r="F116" s="16"/>
      <c r="G116" s="14">
        <v>84296</v>
      </c>
      <c r="H116" s="28">
        <v>0.53</v>
      </c>
      <c r="I116" s="28">
        <v>0.65</v>
      </c>
      <c r="J116" s="16">
        <v>0.009490740740740741</v>
      </c>
      <c r="K116" s="16">
        <f>K115+J116</f>
        <v>4.589583333333334</v>
      </c>
      <c r="L116" s="14">
        <f>G116-G115</f>
        <v>90</v>
      </c>
      <c r="M116" s="14">
        <f>G116-$G$23</f>
        <v>10056</v>
      </c>
      <c r="N116" s="27">
        <v>10.5</v>
      </c>
      <c r="O116" s="27">
        <v>48</v>
      </c>
      <c r="P116" s="27">
        <f>N116+P115</f>
        <v>2011.838</v>
      </c>
      <c r="Q116" s="27">
        <f>N116*1.2</f>
        <v>12.6</v>
      </c>
      <c r="R116" s="18">
        <f>R115+(Q116/1000)</f>
        <v>376.85604</v>
      </c>
      <c r="S116" s="19">
        <v>0.2</v>
      </c>
      <c r="T116" s="20">
        <v>2.82</v>
      </c>
      <c r="U116" s="20">
        <f>U115+T116</f>
        <v>676.8306</v>
      </c>
      <c r="V116" s="20">
        <f>T116/N116</f>
        <v>0.268571428571429</v>
      </c>
      <c r="W116" s="16"/>
      <c r="X116" s="16"/>
      <c r="Y116" s="16"/>
    </row>
    <row r="117" ht="20.05" customHeight="1">
      <c r="A117" t="s" s="11">
        <v>147</v>
      </c>
      <c r="B117" t="s" s="35">
        <v>39</v>
      </c>
      <c r="C117" t="s" s="33">
        <v>122</v>
      </c>
      <c r="D117" s="14">
        <v>100</v>
      </c>
      <c r="E117" s="16"/>
      <c r="F117" s="16"/>
      <c r="G117" s="14">
        <v>84420</v>
      </c>
      <c r="H117" s="28">
        <v>0.25</v>
      </c>
      <c r="I117" s="28">
        <v>0.65</v>
      </c>
      <c r="J117" s="16">
        <v>0.01798611111111111</v>
      </c>
      <c r="K117" s="16">
        <f>K116+J117</f>
        <v>4.607569444444445</v>
      </c>
      <c r="L117" s="14">
        <f>G117-G116</f>
        <v>124</v>
      </c>
      <c r="M117" s="14">
        <f>G117-$G$23</f>
        <v>10180</v>
      </c>
      <c r="N117" s="27">
        <v>29.5</v>
      </c>
      <c r="O117" s="27">
        <v>72</v>
      </c>
      <c r="P117" s="27">
        <f>N117+P116</f>
        <v>2041.338</v>
      </c>
      <c r="Q117" s="27">
        <f>N117*1.2</f>
        <v>35.4</v>
      </c>
      <c r="R117" s="18">
        <f>R116+(Q117/1000)</f>
        <v>376.89144</v>
      </c>
      <c r="S117" s="19">
        <v>0.33</v>
      </c>
      <c r="T117" s="20">
        <v>9.789999999999999</v>
      </c>
      <c r="U117" s="20">
        <f>U116+T117</f>
        <v>686.6206</v>
      </c>
      <c r="V117" s="20">
        <f>T117/N117</f>
        <v>0.331864406779661</v>
      </c>
      <c r="W117" s="16"/>
      <c r="X117" s="16"/>
      <c r="Y117" s="16"/>
    </row>
    <row r="118" ht="20.05" customHeight="1">
      <c r="A118" t="s" s="11">
        <v>148</v>
      </c>
      <c r="B118" t="s" s="35">
        <v>39</v>
      </c>
      <c r="C118" t="s" s="33">
        <v>122</v>
      </c>
      <c r="D118" s="14">
        <v>50</v>
      </c>
      <c r="E118" s="16"/>
      <c r="F118" s="16"/>
      <c r="G118" s="14">
        <v>84566</v>
      </c>
      <c r="H118" s="28">
        <v>0.19</v>
      </c>
      <c r="I118" s="28">
        <v>0.82</v>
      </c>
      <c r="J118" s="16">
        <v>0.03958333333333333</v>
      </c>
      <c r="K118" s="16">
        <f>K117+J118</f>
        <v>4.647152777777777</v>
      </c>
      <c r="L118" s="14">
        <f>G118-G117</f>
        <v>146</v>
      </c>
      <c r="M118" s="14">
        <f>G118-$G$23</f>
        <v>10326</v>
      </c>
      <c r="N118" s="27">
        <v>43.23</v>
      </c>
      <c r="O118" s="27">
        <v>50</v>
      </c>
      <c r="P118" s="27">
        <f>N118+P117</f>
        <v>2084.568</v>
      </c>
      <c r="Q118" s="27">
        <f>N118*1.2</f>
        <v>51.876</v>
      </c>
      <c r="R118" s="18">
        <f>R117+(Q118/1000)</f>
        <v>376.943316</v>
      </c>
      <c r="S118" s="19">
        <v>0.21</v>
      </c>
      <c r="T118" s="20">
        <v>11.8</v>
      </c>
      <c r="U118" s="20">
        <f>U117+T118</f>
        <v>698.4206</v>
      </c>
      <c r="V118" s="20">
        <f>T118/N118</f>
        <v>0.272958593569281</v>
      </c>
      <c r="W118" s="16"/>
      <c r="X118" s="16"/>
      <c r="Y118" s="16"/>
    </row>
    <row r="119" ht="32.05" customHeight="1">
      <c r="A119" t="s" s="11">
        <v>149</v>
      </c>
      <c r="B119" t="s" s="35">
        <v>39</v>
      </c>
      <c r="C119" t="s" s="33">
        <v>49</v>
      </c>
      <c r="D119" s="14">
        <v>7</v>
      </c>
      <c r="E119" s="16"/>
      <c r="F119" s="16"/>
      <c r="G119" s="14">
        <v>84601</v>
      </c>
      <c r="H119" s="28">
        <v>0.75</v>
      </c>
      <c r="I119" s="28">
        <v>1</v>
      </c>
      <c r="J119" s="16">
        <v>0.1541666666666667</v>
      </c>
      <c r="K119" s="16">
        <f>K118+J119</f>
        <v>4.801319444444444</v>
      </c>
      <c r="L119" s="14">
        <f>G119-G118</f>
        <v>35</v>
      </c>
      <c r="M119" s="14">
        <f>G119-$G$23</f>
        <v>10361</v>
      </c>
      <c r="N119" s="27">
        <v>19.7</v>
      </c>
      <c r="O119" s="27">
        <v>6</v>
      </c>
      <c r="P119" s="27">
        <f>N119+P118</f>
        <v>2104.268</v>
      </c>
      <c r="Q119" s="27">
        <f>N119*1.2</f>
        <v>23.64</v>
      </c>
      <c r="R119" s="18">
        <f>R118+(Q119/1000)</f>
        <v>376.966956</v>
      </c>
      <c r="S119" s="19">
        <v>0.01666</v>
      </c>
      <c r="T119" s="20">
        <v>3.71</v>
      </c>
      <c r="U119" s="20">
        <f>U118+T119</f>
        <v>702.1306</v>
      </c>
      <c r="V119" s="20">
        <f>T119/N119</f>
        <v>0.188324873096447</v>
      </c>
      <c r="W119" s="16"/>
      <c r="X119" s="16"/>
      <c r="Y119" s="16"/>
    </row>
    <row r="120" ht="32.05" customHeight="1">
      <c r="A120" t="s" s="11">
        <v>150</v>
      </c>
      <c r="B120" t="s" s="35">
        <v>39</v>
      </c>
      <c r="C120" t="s" s="33">
        <v>151</v>
      </c>
      <c r="D120" s="14">
        <v>2</v>
      </c>
      <c r="E120" s="16"/>
      <c r="F120" s="16"/>
      <c r="G120" s="14">
        <v>84697</v>
      </c>
      <c r="H120" s="28">
        <v>0.8100000000000001</v>
      </c>
      <c r="I120" s="28">
        <v>1</v>
      </c>
      <c r="J120" s="16">
        <v>0.5</v>
      </c>
      <c r="K120" s="16">
        <f>K119+J120</f>
        <v>5.301319444444444</v>
      </c>
      <c r="L120" s="14">
        <f>G120-G119</f>
        <v>96</v>
      </c>
      <c r="M120" s="14">
        <f>G120-$G$23</f>
        <v>10457</v>
      </c>
      <c r="N120" s="27">
        <v>15</v>
      </c>
      <c r="O120" s="27">
        <v>1.2</v>
      </c>
      <c r="P120" s="27">
        <f>N120+P119</f>
        <v>2119.268</v>
      </c>
      <c r="Q120" s="27">
        <f>N120*1.2</f>
        <v>18</v>
      </c>
      <c r="R120" s="18">
        <f>R119+(Q120/1000)</f>
        <v>376.984956</v>
      </c>
      <c r="S120" s="19">
        <v>0</v>
      </c>
      <c r="T120" s="20">
        <v>0</v>
      </c>
      <c r="U120" s="20">
        <f>U119+T120</f>
        <v>702.1306</v>
      </c>
      <c r="V120" s="20">
        <f>T120/N120</f>
        <v>0</v>
      </c>
      <c r="W120" s="16"/>
      <c r="X120" s="16"/>
      <c r="Y120" s="16"/>
    </row>
    <row r="121" ht="20.05" customHeight="1">
      <c r="A121" t="s" s="11">
        <v>152</v>
      </c>
      <c r="B121" t="s" s="35">
        <v>39</v>
      </c>
      <c r="C121" t="s" s="33">
        <v>122</v>
      </c>
      <c r="D121" s="14">
        <v>100</v>
      </c>
      <c r="E121" s="16"/>
      <c r="F121" s="16"/>
      <c r="G121" s="14">
        <v>84906</v>
      </c>
      <c r="H121" s="28">
        <v>0.28</v>
      </c>
      <c r="I121" s="25">
        <v>0.8</v>
      </c>
      <c r="J121" s="16">
        <v>0.02545138888888889</v>
      </c>
      <c r="K121" s="16">
        <f>K120+J121</f>
        <v>5.326770833333334</v>
      </c>
      <c r="L121" s="14">
        <f>G121-G120</f>
        <v>209</v>
      </c>
      <c r="M121" s="14">
        <f>G121-$G$23</f>
        <v>10666</v>
      </c>
      <c r="N121" s="27">
        <v>37.61</v>
      </c>
      <c r="O121" s="27">
        <v>72</v>
      </c>
      <c r="P121" s="27">
        <f>N121+P120</f>
        <v>2156.878</v>
      </c>
      <c r="Q121" s="27">
        <f>N121*1.2</f>
        <v>45.132</v>
      </c>
      <c r="R121" s="18">
        <f>R120+(Q121/1000)</f>
        <v>377.030088</v>
      </c>
      <c r="S121" s="19">
        <v>0.3</v>
      </c>
      <c r="T121" s="20">
        <v>12.75</v>
      </c>
      <c r="U121" s="20">
        <f>U120+T121</f>
        <v>714.8806</v>
      </c>
      <c r="V121" s="20">
        <f>T121/N121</f>
        <v>0.339005583621377</v>
      </c>
      <c r="W121" s="16"/>
      <c r="X121" s="16"/>
      <c r="Y121" s="16"/>
    </row>
    <row r="122" ht="20.05" customHeight="1">
      <c r="A122" t="s" s="11">
        <v>153</v>
      </c>
      <c r="B122" t="s" s="35">
        <v>39</v>
      </c>
      <c r="C122" t="s" s="33">
        <v>49</v>
      </c>
      <c r="D122" s="14">
        <v>7</v>
      </c>
      <c r="E122" s="16"/>
      <c r="F122" s="16"/>
      <c r="G122" s="14">
        <v>84967</v>
      </c>
      <c r="H122" s="28">
        <v>0.65</v>
      </c>
      <c r="I122" s="25">
        <v>0.7</v>
      </c>
      <c r="J122" s="16">
        <v>0.02880787037037037</v>
      </c>
      <c r="K122" s="16">
        <f>K121+J122</f>
        <v>5.355578703703704</v>
      </c>
      <c r="L122" s="14">
        <f>G122-G121</f>
        <v>61</v>
      </c>
      <c r="M122" s="14">
        <f>G122-$G$23</f>
        <v>10727</v>
      </c>
      <c r="N122" s="27">
        <v>3.7</v>
      </c>
      <c r="O122" s="27">
        <v>6</v>
      </c>
      <c r="P122" s="27">
        <f>N122+P121</f>
        <v>2160.578</v>
      </c>
      <c r="Q122" s="27">
        <f>N122*1.2</f>
        <v>4.44</v>
      </c>
      <c r="R122" s="18">
        <f>R121+(Q122/1000)</f>
        <v>377.034528</v>
      </c>
      <c r="S122" s="19">
        <v>0</v>
      </c>
      <c r="T122" s="20">
        <v>0</v>
      </c>
      <c r="U122" s="20">
        <f>U121+T122</f>
        <v>714.8806</v>
      </c>
      <c r="V122" s="20">
        <f>T122/N122</f>
        <v>0</v>
      </c>
      <c r="W122" s="16"/>
      <c r="X122" s="16"/>
      <c r="Y122" s="16"/>
    </row>
    <row r="123" ht="32.05" customHeight="1">
      <c r="A123" t="s" s="11">
        <v>154</v>
      </c>
      <c r="B123" t="s" s="35">
        <v>39</v>
      </c>
      <c r="C123" t="s" s="33">
        <v>122</v>
      </c>
      <c r="D123" s="14">
        <v>100</v>
      </c>
      <c r="E123" s="16"/>
      <c r="F123" s="16"/>
      <c r="G123" s="14">
        <v>85156</v>
      </c>
      <c r="H123" s="28">
        <v>0.12</v>
      </c>
      <c r="I123" s="28">
        <v>0.85</v>
      </c>
      <c r="J123" s="16">
        <v>0.03472222222222222</v>
      </c>
      <c r="K123" s="16">
        <f>K122+J123</f>
        <v>5.390300925925926</v>
      </c>
      <c r="L123" s="14">
        <f>G123-G122</f>
        <v>189</v>
      </c>
      <c r="M123" s="14">
        <f>G123-$G$23</f>
        <v>10916</v>
      </c>
      <c r="N123" s="27">
        <v>50</v>
      </c>
      <c r="O123" s="27">
        <v>73</v>
      </c>
      <c r="P123" s="27">
        <f>N123+P122</f>
        <v>2210.578</v>
      </c>
      <c r="Q123" s="27">
        <f>N123*1.2</f>
        <v>60</v>
      </c>
      <c r="R123" s="18">
        <f>R122+(Q123/1000)</f>
        <v>377.094528</v>
      </c>
      <c r="S123" s="19">
        <v>0.3</v>
      </c>
      <c r="T123" s="20">
        <v>17.46</v>
      </c>
      <c r="U123" s="20">
        <f>U122+T123</f>
        <v>732.3406</v>
      </c>
      <c r="V123" s="20">
        <f>T123/N123</f>
        <v>0.3492</v>
      </c>
      <c r="W123" s="16"/>
      <c r="X123" s="16"/>
      <c r="Y123" s="16"/>
    </row>
    <row r="124" ht="20.05" customHeight="1">
      <c r="A124" t="s" s="11">
        <v>155</v>
      </c>
      <c r="B124" t="s" s="35">
        <v>39</v>
      </c>
      <c r="C124" t="s" s="33">
        <v>84</v>
      </c>
      <c r="D124" s="14">
        <v>50</v>
      </c>
      <c r="E124" s="16"/>
      <c r="F124" s="16"/>
      <c r="G124" s="14">
        <v>85365</v>
      </c>
      <c r="H124" s="28">
        <v>0.12</v>
      </c>
      <c r="I124" s="28">
        <v>0.87</v>
      </c>
      <c r="J124" s="16">
        <v>0.04930555555555555</v>
      </c>
      <c r="K124" s="16">
        <f>K123+J124</f>
        <v>5.439606481481482</v>
      </c>
      <c r="L124" s="14">
        <f>G124-G123</f>
        <v>209</v>
      </c>
      <c r="M124" s="14">
        <f>G124-$G$23</f>
        <v>11125</v>
      </c>
      <c r="N124" s="27">
        <v>51.17</v>
      </c>
      <c r="O124" s="27">
        <v>48</v>
      </c>
      <c r="P124" s="27">
        <f>N124+P123</f>
        <v>2261.748</v>
      </c>
      <c r="Q124" s="27">
        <f>N124*26</f>
        <v>1330.42</v>
      </c>
      <c r="R124" s="18">
        <f>R123+(Q124/1000)</f>
        <v>378.424948</v>
      </c>
      <c r="S124" s="19">
        <v>0.3</v>
      </c>
      <c r="T124" s="20">
        <v>24.1</v>
      </c>
      <c r="U124" s="20">
        <f>U123+T124</f>
        <v>756.4406</v>
      </c>
      <c r="V124" s="20">
        <f>T124/N124</f>
        <v>0.470979089310143</v>
      </c>
      <c r="W124" s="16"/>
      <c r="X124" s="16"/>
      <c r="Y124" s="16"/>
    </row>
    <row r="125" ht="20.05" customHeight="1">
      <c r="A125" t="s" s="11">
        <v>156</v>
      </c>
      <c r="B125" t="s" s="35">
        <v>39</v>
      </c>
      <c r="C125" t="s" s="33">
        <v>84</v>
      </c>
      <c r="D125" s="14">
        <v>50</v>
      </c>
      <c r="E125" s="16"/>
      <c r="F125" s="16"/>
      <c r="G125" s="14">
        <v>85576</v>
      </c>
      <c r="H125" s="28">
        <v>0.15</v>
      </c>
      <c r="I125" s="28">
        <v>0.65</v>
      </c>
      <c r="J125" s="16">
        <v>0.03244212962962963</v>
      </c>
      <c r="K125" s="16">
        <f>K124+J125</f>
        <v>5.472048611111111</v>
      </c>
      <c r="L125" s="14">
        <f>G125-G124</f>
        <v>211</v>
      </c>
      <c r="M125" s="14">
        <f>G125-$G$23</f>
        <v>11336</v>
      </c>
      <c r="N125" s="27">
        <v>35.88</v>
      </c>
      <c r="O125" s="27">
        <v>48</v>
      </c>
      <c r="P125" s="27">
        <f>N125+P124</f>
        <v>2297.628</v>
      </c>
      <c r="Q125" s="27">
        <f>N125*26</f>
        <v>932.88</v>
      </c>
      <c r="R125" s="18">
        <f>R124+(Q125/1000)</f>
        <v>379.357828</v>
      </c>
      <c r="S125" s="19">
        <v>0.3</v>
      </c>
      <c r="T125" s="20">
        <v>15.83</v>
      </c>
      <c r="U125" s="20">
        <f>U124+T125</f>
        <v>772.2705999999999</v>
      </c>
      <c r="V125" s="20">
        <f>T125/N125</f>
        <v>0.441192865105909</v>
      </c>
      <c r="W125" s="16"/>
      <c r="X125" s="16"/>
      <c r="Y125" s="16"/>
    </row>
    <row r="126" ht="20.05" customHeight="1">
      <c r="A126" t="s" s="11">
        <v>157</v>
      </c>
      <c r="B126" t="s" s="35">
        <v>39</v>
      </c>
      <c r="C126" t="s" s="33">
        <v>61</v>
      </c>
      <c r="D126" s="14">
        <v>150</v>
      </c>
      <c r="E126" s="16"/>
      <c r="F126" s="16"/>
      <c r="G126" s="14">
        <v>85701</v>
      </c>
      <c r="H126" s="28">
        <v>0.27</v>
      </c>
      <c r="I126" s="28">
        <v>0.82</v>
      </c>
      <c r="J126" s="16">
        <v>0.03194444444444444</v>
      </c>
      <c r="K126" s="16">
        <f>K125+J126</f>
        <v>5.503993055555555</v>
      </c>
      <c r="L126" s="14">
        <f>G126-G125</f>
        <v>125</v>
      </c>
      <c r="M126" s="14">
        <f>G126-$G$23</f>
        <v>11461</v>
      </c>
      <c r="N126" s="27">
        <v>40.4</v>
      </c>
      <c r="O126" s="27">
        <v>68</v>
      </c>
      <c r="P126" s="27">
        <f>N126+P125</f>
        <v>2338.028</v>
      </c>
      <c r="Q126" s="27">
        <f>N126*26</f>
        <v>1050.4</v>
      </c>
      <c r="R126" s="18">
        <f>R125+(Q126/1000)</f>
        <v>380.408228</v>
      </c>
      <c r="S126" s="19">
        <v>0.33</v>
      </c>
      <c r="T126" s="20">
        <v>14.96</v>
      </c>
      <c r="U126" s="20">
        <f>U125+T126</f>
        <v>787.2306</v>
      </c>
      <c r="V126" s="20">
        <f>T126/N126</f>
        <v>0.37029702970297</v>
      </c>
      <c r="W126" s="16"/>
      <c r="X126" s="16"/>
      <c r="Y126" s="16"/>
    </row>
    <row r="127" ht="20.05" customHeight="1">
      <c r="A127" t="s" s="11">
        <v>158</v>
      </c>
      <c r="B127" t="s" s="35">
        <v>39</v>
      </c>
      <c r="C127" t="s" s="33">
        <v>54</v>
      </c>
      <c r="D127" s="14">
        <v>7</v>
      </c>
      <c r="E127" s="16"/>
      <c r="F127" s="16"/>
      <c r="G127" s="14">
        <v>85707</v>
      </c>
      <c r="H127" s="25">
        <v>0.8</v>
      </c>
      <c r="I127" s="28">
        <v>0.96</v>
      </c>
      <c r="J127" s="16">
        <v>0.04166666666666666</v>
      </c>
      <c r="K127" s="16">
        <f>K126+J127</f>
        <v>5.545659722222222</v>
      </c>
      <c r="L127" s="14">
        <f>G127-G126</f>
        <v>6</v>
      </c>
      <c r="M127" s="14">
        <f>G127-$G$23</f>
        <v>11467</v>
      </c>
      <c r="N127" s="27">
        <v>6</v>
      </c>
      <c r="O127" s="27">
        <v>6</v>
      </c>
      <c r="P127" s="27">
        <f>N127+P126</f>
        <v>2344.028</v>
      </c>
      <c r="Q127" s="27">
        <f>N127*26</f>
        <v>156</v>
      </c>
      <c r="R127" s="18">
        <f>R126+(Q127/1000)</f>
        <v>380.564228</v>
      </c>
      <c r="S127" s="19">
        <v>0</v>
      </c>
      <c r="T127" s="20">
        <v>0</v>
      </c>
      <c r="U127" s="20">
        <f>U126+T127</f>
        <v>787.2306</v>
      </c>
      <c r="V127" s="20">
        <f>T127/N127</f>
        <v>0</v>
      </c>
      <c r="W127" s="16"/>
      <c r="X127" s="16"/>
      <c r="Y127" s="16"/>
    </row>
    <row r="128" ht="20.05" customHeight="1">
      <c r="A128" t="s" s="11">
        <v>159</v>
      </c>
      <c r="B128" t="s" s="35">
        <v>39</v>
      </c>
      <c r="C128" t="s" s="33">
        <v>49</v>
      </c>
      <c r="D128" s="14">
        <v>50</v>
      </c>
      <c r="E128" s="16"/>
      <c r="F128" s="16"/>
      <c r="G128" s="14">
        <v>85878</v>
      </c>
      <c r="H128" s="28">
        <v>0.48</v>
      </c>
      <c r="I128" s="28">
        <v>0.82</v>
      </c>
      <c r="J128" s="16">
        <v>0.01440972222222222</v>
      </c>
      <c r="K128" s="16">
        <f>K127+J128</f>
        <v>5.560069444444444</v>
      </c>
      <c r="L128" s="14">
        <f>G128-G127</f>
        <v>171</v>
      </c>
      <c r="M128" s="14">
        <f>G128-$G$23</f>
        <v>11638</v>
      </c>
      <c r="N128" s="27">
        <v>16.34</v>
      </c>
      <c r="O128" s="27">
        <v>48</v>
      </c>
      <c r="P128" s="27">
        <f>N128+P127</f>
        <v>2360.368</v>
      </c>
      <c r="Q128" s="27">
        <f>N128*26</f>
        <v>424.84</v>
      </c>
      <c r="R128" s="18">
        <f>R127+(Q128/1000)</f>
        <v>380.989068</v>
      </c>
      <c r="S128" s="19">
        <v>0.3</v>
      </c>
      <c r="T128" s="20">
        <v>7.03</v>
      </c>
      <c r="U128" s="20">
        <f>U127+T128</f>
        <v>794.2606</v>
      </c>
      <c r="V128" s="20">
        <f>T128/N128</f>
        <v>0.430232558139535</v>
      </c>
      <c r="W128" s="16"/>
      <c r="X128" s="16"/>
      <c r="Y128" s="16"/>
    </row>
    <row r="129" ht="20.05" customHeight="1">
      <c r="A129" t="s" s="11">
        <v>160</v>
      </c>
      <c r="B129" t="s" s="35">
        <v>39</v>
      </c>
      <c r="C129" t="s" s="33">
        <v>84</v>
      </c>
      <c r="D129" s="14">
        <v>50</v>
      </c>
      <c r="E129" s="16"/>
      <c r="F129" s="16"/>
      <c r="G129" s="14">
        <v>86023</v>
      </c>
      <c r="H129" s="28">
        <v>0.25</v>
      </c>
      <c r="I129" s="28">
        <v>0.92</v>
      </c>
      <c r="J129" s="16">
        <v>0.05208333333333334</v>
      </c>
      <c r="K129" s="16">
        <f>K128+J129</f>
        <v>5.612152777777778</v>
      </c>
      <c r="L129" s="14">
        <f>G129-G128</f>
        <v>145</v>
      </c>
      <c r="M129" s="14">
        <f>G129-$G$23</f>
        <v>11783</v>
      </c>
      <c r="N129" s="27">
        <v>46.73</v>
      </c>
      <c r="O129" s="27">
        <v>48</v>
      </c>
      <c r="P129" s="27">
        <f>N129+P128</f>
        <v>2407.098</v>
      </c>
      <c r="Q129" s="27">
        <f>N129*26</f>
        <v>1214.98</v>
      </c>
      <c r="R129" s="18">
        <f>R128+(Q129/1000)</f>
        <v>382.204048</v>
      </c>
      <c r="S129" s="19">
        <v>0.3</v>
      </c>
      <c r="T129" s="20">
        <v>25.56</v>
      </c>
      <c r="U129" s="20">
        <f>U128+T129</f>
        <v>819.8206</v>
      </c>
      <c r="V129" s="20">
        <f>T129/N129</f>
        <v>0.546971966616734</v>
      </c>
      <c r="W129" s="16"/>
      <c r="X129" s="16"/>
      <c r="Y129" s="16"/>
    </row>
    <row r="130" ht="20.05" customHeight="1">
      <c r="A130" t="s" s="11">
        <v>161</v>
      </c>
      <c r="B130" t="s" s="35">
        <v>39</v>
      </c>
      <c r="C130" t="s" s="33">
        <v>61</v>
      </c>
      <c r="D130" s="14">
        <v>150</v>
      </c>
      <c r="E130" s="16"/>
      <c r="F130" s="16"/>
      <c r="G130" s="14">
        <v>86249</v>
      </c>
      <c r="H130" s="25">
        <v>0.2</v>
      </c>
      <c r="I130" s="28">
        <v>0.8100000000000001</v>
      </c>
      <c r="J130" s="16">
        <v>0.03055555555555555</v>
      </c>
      <c r="K130" s="16">
        <f>K129+J130</f>
        <v>5.642708333333333</v>
      </c>
      <c r="L130" s="14">
        <f>G130-G129</f>
        <v>226</v>
      </c>
      <c r="M130" s="14">
        <f>G130-$G$23</f>
        <v>12009</v>
      </c>
      <c r="N130" s="27">
        <v>45.1</v>
      </c>
      <c r="O130" s="27">
        <v>68</v>
      </c>
      <c r="P130" s="27">
        <f>N130+P129</f>
        <v>2452.198</v>
      </c>
      <c r="Q130" s="27">
        <f>N130*26</f>
        <v>1172.6</v>
      </c>
      <c r="R130" s="18">
        <f>R129+(Q130/1000)</f>
        <v>383.376648</v>
      </c>
      <c r="S130" s="19">
        <v>0.33</v>
      </c>
      <c r="T130" s="20">
        <v>14.24</v>
      </c>
      <c r="U130" s="20">
        <f>U129+T130</f>
        <v>834.0606</v>
      </c>
      <c r="V130" s="20">
        <f>T130/N130</f>
        <v>0.315742793791574</v>
      </c>
      <c r="W130" s="16"/>
      <c r="X130" s="16"/>
      <c r="Y130" s="16"/>
    </row>
    <row r="131" ht="20.05" customHeight="1">
      <c r="A131" t="s" s="11">
        <v>162</v>
      </c>
      <c r="B131" t="s" s="35">
        <v>39</v>
      </c>
      <c r="C131" t="s" s="33">
        <v>84</v>
      </c>
      <c r="D131" s="14">
        <v>50</v>
      </c>
      <c r="E131" s="16"/>
      <c r="F131" s="16"/>
      <c r="G131" s="14">
        <v>86343</v>
      </c>
      <c r="H131" s="25">
        <v>0.5</v>
      </c>
      <c r="I131" s="25">
        <v>0.8</v>
      </c>
      <c r="J131" s="16">
        <v>0.01700231481481481</v>
      </c>
      <c r="K131" s="16">
        <f>K130+J131</f>
        <v>5.659710648148148</v>
      </c>
      <c r="L131" s="14">
        <f>G131-G130</f>
        <v>94</v>
      </c>
      <c r="M131" s="14">
        <f>G131-$G$23</f>
        <v>12103</v>
      </c>
      <c r="N131" s="27">
        <v>19.38</v>
      </c>
      <c r="O131" s="27">
        <v>45</v>
      </c>
      <c r="P131" s="27">
        <f>N131+P130</f>
        <v>2471.578</v>
      </c>
      <c r="Q131" s="27">
        <f>N131*26</f>
        <v>503.88</v>
      </c>
      <c r="R131" s="18">
        <f>R130+(Q131/1000)</f>
        <v>383.880528</v>
      </c>
      <c r="S131" s="19">
        <v>0.3</v>
      </c>
      <c r="T131" s="20">
        <v>8.289999999999999</v>
      </c>
      <c r="U131" s="20">
        <f>U130+T131</f>
        <v>842.3506</v>
      </c>
      <c r="V131" s="20">
        <f>T131/N131</f>
        <v>0.427760577915377</v>
      </c>
      <c r="W131" s="16"/>
      <c r="X131" s="16"/>
      <c r="Y131" s="16"/>
    </row>
    <row r="132" ht="20.05" customHeight="1">
      <c r="A132" t="s" s="11">
        <v>163</v>
      </c>
      <c r="B132" t="s" s="35">
        <v>39</v>
      </c>
      <c r="C132" t="s" s="33">
        <v>84</v>
      </c>
      <c r="D132" s="14">
        <v>50</v>
      </c>
      <c r="E132" s="16"/>
      <c r="F132" s="16"/>
      <c r="G132" s="14">
        <v>86535</v>
      </c>
      <c r="H132" s="28">
        <v>0.28</v>
      </c>
      <c r="I132" s="28">
        <v>0.28</v>
      </c>
      <c r="J132" s="16">
        <v>0.0006134259259259259</v>
      </c>
      <c r="K132" s="16">
        <f>K131+J132</f>
        <v>5.660324074074074</v>
      </c>
      <c r="L132" s="14">
        <f>G132-G131</f>
        <v>192</v>
      </c>
      <c r="M132" s="14">
        <f>G132-$G$23</f>
        <v>12295</v>
      </c>
      <c r="N132" s="27">
        <v>0.44</v>
      </c>
      <c r="O132" s="27">
        <v>35</v>
      </c>
      <c r="P132" s="27">
        <f>N132+P131</f>
        <v>2472.018</v>
      </c>
      <c r="Q132" s="27">
        <f>N132*26</f>
        <v>11.44</v>
      </c>
      <c r="R132" s="18">
        <f>R131+(Q132/1000)</f>
        <v>383.891968</v>
      </c>
      <c r="S132" s="19">
        <v>0</v>
      </c>
      <c r="T132" s="20">
        <v>0</v>
      </c>
      <c r="U132" s="20">
        <f>U131+T132</f>
        <v>842.3506</v>
      </c>
      <c r="V132" s="20">
        <f>T132/N132</f>
        <v>0</v>
      </c>
      <c r="W132" s="16"/>
      <c r="X132" s="16"/>
      <c r="Y132" s="16"/>
    </row>
    <row r="133" ht="20.05" customHeight="1">
      <c r="A133" t="s" s="11">
        <v>163</v>
      </c>
      <c r="B133" t="s" s="35">
        <v>39</v>
      </c>
      <c r="C133" t="s" s="33">
        <v>84</v>
      </c>
      <c r="D133" s="14">
        <v>50</v>
      </c>
      <c r="E133" s="16"/>
      <c r="F133" s="16"/>
      <c r="G133" s="14">
        <v>86535</v>
      </c>
      <c r="H133" s="28">
        <v>0.28</v>
      </c>
      <c r="I133" s="28">
        <v>0.61</v>
      </c>
      <c r="J133" s="16">
        <v>0.02688657407407407</v>
      </c>
      <c r="K133" s="16">
        <f>K132+J133</f>
        <v>5.687210648148148</v>
      </c>
      <c r="L133" s="14">
        <f>G133-G132</f>
        <v>0</v>
      </c>
      <c r="M133" s="14">
        <f>G133-$G$23</f>
        <v>12295</v>
      </c>
      <c r="N133" s="27">
        <v>23.86</v>
      </c>
      <c r="O133" s="27">
        <v>38</v>
      </c>
      <c r="P133" s="27">
        <f>N133+P132</f>
        <v>2495.878</v>
      </c>
      <c r="Q133" s="27">
        <f>N133*26</f>
        <v>620.36</v>
      </c>
      <c r="R133" s="18">
        <f>R132+(Q133/1000)</f>
        <v>384.512328</v>
      </c>
      <c r="S133" s="19">
        <v>0.3</v>
      </c>
      <c r="T133" s="20">
        <v>13.12</v>
      </c>
      <c r="U133" s="20">
        <f>U132+T133</f>
        <v>855.4706</v>
      </c>
      <c r="V133" s="20">
        <f>T133/N133</f>
        <v>0.549874266554904</v>
      </c>
      <c r="W133" s="16"/>
      <c r="X133" s="16"/>
      <c r="Y133" s="16"/>
    </row>
    <row r="134" ht="20.05" customHeight="1">
      <c r="A134" t="s" s="11">
        <v>89</v>
      </c>
      <c r="B134" t="s" s="35">
        <v>39</v>
      </c>
      <c r="C134" t="s" s="33">
        <v>61</v>
      </c>
      <c r="D134" s="14">
        <v>150</v>
      </c>
      <c r="E134" s="16"/>
      <c r="F134" s="16"/>
      <c r="G134" s="14">
        <v>86622</v>
      </c>
      <c r="H134" s="28">
        <v>0.26</v>
      </c>
      <c r="I134" s="28">
        <v>0.92</v>
      </c>
      <c r="J134" s="16">
        <v>0.02688657407407407</v>
      </c>
      <c r="K134" s="16">
        <f>K133+J134</f>
        <v>5.714097222222223</v>
      </c>
      <c r="L134" s="14">
        <f>G134-G133</f>
        <v>87</v>
      </c>
      <c r="M134" s="14">
        <f>G134-$G$23</f>
        <v>12382</v>
      </c>
      <c r="N134" s="27">
        <v>46</v>
      </c>
      <c r="O134" s="27">
        <v>70</v>
      </c>
      <c r="P134" s="27">
        <f>N134+P133</f>
        <v>2541.878</v>
      </c>
      <c r="Q134" s="27">
        <f>N134*26</f>
        <v>1196</v>
      </c>
      <c r="R134" s="18">
        <f>R133+(Q134/1000)</f>
        <v>385.708328</v>
      </c>
      <c r="S134" s="19">
        <v>0</v>
      </c>
      <c r="T134" s="20">
        <v>0</v>
      </c>
      <c r="U134" s="20">
        <f>U133+T134</f>
        <v>855.4706</v>
      </c>
      <c r="V134" s="20">
        <f>T134/N134</f>
        <v>0</v>
      </c>
      <c r="W134" s="16"/>
      <c r="X134" s="16"/>
      <c r="Y134" s="16"/>
    </row>
    <row r="135" ht="32.05" customHeight="1">
      <c r="A135" t="s" s="11">
        <v>164</v>
      </c>
      <c r="B135" t="s" s="35">
        <v>39</v>
      </c>
      <c r="C135" t="s" s="33">
        <v>61</v>
      </c>
      <c r="D135" s="14">
        <v>150</v>
      </c>
      <c r="E135" s="16"/>
      <c r="F135" s="16"/>
      <c r="G135" s="14">
        <v>86730</v>
      </c>
      <c r="H135" s="28">
        <v>0.62</v>
      </c>
      <c r="I135" s="28">
        <v>0.91</v>
      </c>
      <c r="J135" s="16">
        <v>0.02569444444444444</v>
      </c>
      <c r="K135" s="16">
        <f>K134+J135</f>
        <v>5.739791666666667</v>
      </c>
      <c r="L135" s="14">
        <f>G135-G134</f>
        <v>108</v>
      </c>
      <c r="M135" s="14">
        <f>G135-$G$23</f>
        <v>12490</v>
      </c>
      <c r="N135" s="27">
        <v>22.3</v>
      </c>
      <c r="O135" s="27">
        <v>79</v>
      </c>
      <c r="P135" s="27">
        <f>N135+P134</f>
        <v>2564.178</v>
      </c>
      <c r="Q135" s="27">
        <f>N135*26</f>
        <v>579.8</v>
      </c>
      <c r="R135" s="18">
        <f>R134+(Q135/1000)</f>
        <v>386.288128</v>
      </c>
      <c r="S135" s="19">
        <v>0.33</v>
      </c>
      <c r="T135" s="20">
        <v>12.2</v>
      </c>
      <c r="U135" s="20">
        <f>U134+T135</f>
        <v>867.6706</v>
      </c>
      <c r="V135" s="20">
        <f>T135/N135</f>
        <v>0.547085201793722</v>
      </c>
      <c r="W135" s="16"/>
      <c r="X135" s="16"/>
      <c r="Y135" s="16"/>
    </row>
    <row r="136" ht="20.05" customHeight="1">
      <c r="A136" t="s" s="11">
        <v>165</v>
      </c>
      <c r="B136" t="s" s="35">
        <v>39</v>
      </c>
      <c r="C136" t="s" s="33">
        <v>61</v>
      </c>
      <c r="D136" s="14">
        <v>150</v>
      </c>
      <c r="E136" s="16"/>
      <c r="F136" s="16"/>
      <c r="G136" s="14">
        <v>86969</v>
      </c>
      <c r="H136" s="28">
        <v>0.12</v>
      </c>
      <c r="I136" s="28">
        <v>0.52</v>
      </c>
      <c r="J136" s="16">
        <v>0.02916666666666667</v>
      </c>
      <c r="K136" s="16">
        <f>K135+J136</f>
        <v>5.768958333333333</v>
      </c>
      <c r="L136" s="14">
        <f>G136-G135</f>
        <v>239</v>
      </c>
      <c r="M136" s="14">
        <f>G136-$G$23</f>
        <v>12729</v>
      </c>
      <c r="N136" s="27">
        <v>29.7</v>
      </c>
      <c r="O136" s="27">
        <v>70</v>
      </c>
      <c r="P136" s="27">
        <f>N136+P135</f>
        <v>2593.878</v>
      </c>
      <c r="Q136" s="27">
        <f>N136*26</f>
        <v>772.2</v>
      </c>
      <c r="R136" s="18">
        <f>R135+(Q136/1000)</f>
        <v>387.060328</v>
      </c>
      <c r="S136" s="19">
        <v>0.33</v>
      </c>
      <c r="T136" s="20">
        <v>13.81</v>
      </c>
      <c r="U136" s="20">
        <f>U135+T136</f>
        <v>881.4806</v>
      </c>
      <c r="V136" s="20">
        <f>T136/N136</f>
        <v>0.464983164983165</v>
      </c>
      <c r="W136" s="16"/>
      <c r="X136" s="16"/>
      <c r="Y136" s="16"/>
    </row>
    <row r="137" ht="20.05" customHeight="1">
      <c r="A137" t="s" s="11">
        <v>166</v>
      </c>
      <c r="B137" t="s" s="35">
        <v>39</v>
      </c>
      <c r="C137" t="s" s="33">
        <v>84</v>
      </c>
      <c r="D137" s="14">
        <v>50</v>
      </c>
      <c r="E137" s="16"/>
      <c r="F137" s="16"/>
      <c r="G137" s="14">
        <v>87074</v>
      </c>
      <c r="H137" s="28">
        <v>0.18</v>
      </c>
      <c r="I137" s="28">
        <v>0.92</v>
      </c>
      <c r="J137" s="16">
        <v>0.05</v>
      </c>
      <c r="K137" s="16">
        <f>K136+J137</f>
        <v>5.818958333333334</v>
      </c>
      <c r="L137" s="14">
        <f>G137-G136</f>
        <v>105</v>
      </c>
      <c r="M137" s="14">
        <f>G137-$G$23</f>
        <v>12834</v>
      </c>
      <c r="N137" s="27">
        <v>49.61</v>
      </c>
      <c r="O137" s="27">
        <v>48</v>
      </c>
      <c r="P137" s="27">
        <f>N137+P136</f>
        <v>2643.488</v>
      </c>
      <c r="Q137" s="27">
        <f>N137*26</f>
        <v>1289.86</v>
      </c>
      <c r="R137" s="18">
        <f>R136+(Q137/1000)</f>
        <v>388.350188</v>
      </c>
      <c r="S137" s="19">
        <v>0.3</v>
      </c>
      <c r="T137" s="20">
        <v>24.4</v>
      </c>
      <c r="U137" s="20">
        <f>U136+T137</f>
        <v>905.8806</v>
      </c>
      <c r="V137" s="20">
        <f>T137/N137</f>
        <v>0.491836323321911</v>
      </c>
      <c r="W137" s="16"/>
      <c r="X137" s="16"/>
      <c r="Y137" s="16"/>
    </row>
    <row r="138" ht="20.05" customHeight="1">
      <c r="A138" t="s" s="11">
        <v>167</v>
      </c>
      <c r="B138" t="s" s="35">
        <v>39</v>
      </c>
      <c r="C138" t="s" s="33">
        <v>84</v>
      </c>
      <c r="D138" s="14">
        <v>50</v>
      </c>
      <c r="E138" s="16"/>
      <c r="F138" s="16"/>
      <c r="G138" s="14">
        <v>87199</v>
      </c>
      <c r="H138" s="28">
        <v>0.52</v>
      </c>
      <c r="I138" s="28">
        <v>0.92</v>
      </c>
      <c r="J138" s="16">
        <v>0.03333333333333333</v>
      </c>
      <c r="K138" s="16">
        <f>K137+J138</f>
        <v>5.852291666666667</v>
      </c>
      <c r="L138" s="14">
        <f>G138-G137</f>
        <v>125</v>
      </c>
      <c r="M138" s="14">
        <f>G138-$G$23</f>
        <v>12959</v>
      </c>
      <c r="N138" s="27">
        <v>29.46</v>
      </c>
      <c r="O138" s="27">
        <v>48</v>
      </c>
      <c r="P138" s="27">
        <f>N138+P137</f>
        <v>2672.948</v>
      </c>
      <c r="Q138" s="27">
        <f>N138*26</f>
        <v>765.96</v>
      </c>
      <c r="R138" s="18">
        <f>R137+(Q138/1000)</f>
        <v>389.116148</v>
      </c>
      <c r="S138" s="19">
        <v>0.3</v>
      </c>
      <c r="T138" s="20">
        <v>16.35</v>
      </c>
      <c r="U138" s="20">
        <f>U137+T138</f>
        <v>922.2306</v>
      </c>
      <c r="V138" s="20">
        <f>T138/N138</f>
        <v>0.554989816700611</v>
      </c>
      <c r="W138" s="16"/>
      <c r="X138" s="16"/>
      <c r="Y138" s="16"/>
    </row>
    <row r="139" ht="32.05" customHeight="1">
      <c r="A139" t="s" s="11">
        <v>168</v>
      </c>
      <c r="B139" t="s" s="35">
        <v>39</v>
      </c>
      <c r="C139" t="s" s="33">
        <v>61</v>
      </c>
      <c r="D139" s="14">
        <v>150</v>
      </c>
      <c r="E139" s="16"/>
      <c r="F139" s="16"/>
      <c r="G139" s="14">
        <v>87407</v>
      </c>
      <c r="H139" s="28">
        <v>0.15</v>
      </c>
      <c r="I139" s="25">
        <v>0.2</v>
      </c>
      <c r="J139" s="16">
        <v>0.01388888888888889</v>
      </c>
      <c r="K139" s="16">
        <f>K138+J139</f>
        <v>5.866180555555555</v>
      </c>
      <c r="L139" s="14">
        <f>G139-G138</f>
        <v>208</v>
      </c>
      <c r="M139" s="14">
        <f>G139-$G$23</f>
        <v>13167</v>
      </c>
      <c r="N139" s="27">
        <v>14.5</v>
      </c>
      <c r="O139" s="27">
        <v>60</v>
      </c>
      <c r="P139" s="27">
        <f>N139+P138</f>
        <v>2687.448</v>
      </c>
      <c r="Q139" s="27">
        <f>N139*1.2</f>
        <v>17.4</v>
      </c>
      <c r="R139" s="18">
        <f>R138+(Q139/1000)</f>
        <v>389.133548</v>
      </c>
      <c r="S139" s="19">
        <v>0</v>
      </c>
      <c r="T139" s="20">
        <v>0</v>
      </c>
      <c r="U139" s="20">
        <f>U138+T139</f>
        <v>922.2306</v>
      </c>
      <c r="V139" s="20">
        <f>T139/N139</f>
        <v>0</v>
      </c>
      <c r="W139" s="16"/>
      <c r="X139" s="16"/>
      <c r="Y139" s="16"/>
    </row>
    <row r="140" ht="44.05" customHeight="1">
      <c r="A140" t="s" s="11">
        <v>169</v>
      </c>
      <c r="B140" t="s" s="35">
        <v>39</v>
      </c>
      <c r="C140" t="s" s="33">
        <v>151</v>
      </c>
      <c r="D140" s="14">
        <v>7</v>
      </c>
      <c r="E140" s="16"/>
      <c r="F140" s="16"/>
      <c r="G140" s="14">
        <v>87453</v>
      </c>
      <c r="H140" s="28">
        <v>0.38</v>
      </c>
      <c r="I140" s="28">
        <v>0.98</v>
      </c>
      <c r="J140" s="16">
        <v>0.25</v>
      </c>
      <c r="K140" s="16">
        <f>K139+J140</f>
        <v>6.116180555555555</v>
      </c>
      <c r="L140" s="14">
        <f>G140-G139</f>
        <v>46</v>
      </c>
      <c r="M140" s="14">
        <f>G140-$G$23</f>
        <v>13213</v>
      </c>
      <c r="N140" s="27">
        <v>38.4</v>
      </c>
      <c r="O140" s="27">
        <v>6.4</v>
      </c>
      <c r="P140" s="27">
        <f>N140+P139</f>
        <v>2725.848</v>
      </c>
      <c r="Q140" s="27">
        <f>N140*1.2</f>
        <v>46.08</v>
      </c>
      <c r="R140" s="18">
        <f>R139+(Q140/1000)</f>
        <v>389.179628</v>
      </c>
      <c r="S140" s="19">
        <v>0</v>
      </c>
      <c r="T140" s="20">
        <v>0</v>
      </c>
      <c r="U140" s="20">
        <f>U139+T140</f>
        <v>922.2306</v>
      </c>
      <c r="V140" s="20">
        <f>T140/N140</f>
        <v>0</v>
      </c>
      <c r="W140" s="16"/>
      <c r="X140" s="16"/>
      <c r="Y140" s="16"/>
    </row>
    <row r="141" ht="20.05" customHeight="1">
      <c r="A141" t="s" s="11">
        <v>170</v>
      </c>
      <c r="B141" t="s" s="35">
        <v>39</v>
      </c>
      <c r="C141" t="s" s="33">
        <v>61</v>
      </c>
      <c r="D141" s="14">
        <v>150</v>
      </c>
      <c r="E141" s="16"/>
      <c r="F141" s="16"/>
      <c r="G141" s="14">
        <v>87668</v>
      </c>
      <c r="H141" s="25">
        <v>0.2</v>
      </c>
      <c r="I141" s="28">
        <v>0.22</v>
      </c>
      <c r="J141" s="16">
        <v>0.002777777777777778</v>
      </c>
      <c r="K141" s="16">
        <f>K140+J141</f>
        <v>6.118958333333333</v>
      </c>
      <c r="L141" s="14">
        <f>G141-G140</f>
        <v>215</v>
      </c>
      <c r="M141" s="14">
        <f>G141-$G$23</f>
        <v>13428</v>
      </c>
      <c r="N141" s="27">
        <v>2.8</v>
      </c>
      <c r="O141" s="27">
        <v>70</v>
      </c>
      <c r="P141" s="27">
        <f>N141+P140</f>
        <v>2728.648</v>
      </c>
      <c r="Q141" s="27">
        <f>N141*1.2</f>
        <v>3.36</v>
      </c>
      <c r="R141" s="18">
        <f>R140+(Q141/1000)</f>
        <v>389.182988</v>
      </c>
      <c r="S141" s="19">
        <v>0.33</v>
      </c>
      <c r="T141" s="20">
        <v>1.13</v>
      </c>
      <c r="U141" s="20">
        <f>U140+T141</f>
        <v>923.3606</v>
      </c>
      <c r="V141" s="20">
        <f>T141/N141</f>
        <v>0.403571428571429</v>
      </c>
      <c r="W141" s="16"/>
      <c r="X141" s="16"/>
      <c r="Y141" s="16"/>
    </row>
    <row r="142" ht="32.05" customHeight="1">
      <c r="A142" t="s" s="11">
        <v>171</v>
      </c>
      <c r="B142" t="s" s="35">
        <v>39</v>
      </c>
      <c r="C142" t="s" s="33">
        <v>61</v>
      </c>
      <c r="D142" s="14">
        <v>150</v>
      </c>
      <c r="E142" s="16"/>
      <c r="F142" s="16"/>
      <c r="G142" s="14">
        <v>87668</v>
      </c>
      <c r="H142" s="28">
        <v>0.22</v>
      </c>
      <c r="I142" s="28">
        <v>0.91</v>
      </c>
      <c r="J142" s="16">
        <v>0.009027777777777777</v>
      </c>
      <c r="K142" s="16">
        <f>K141+J142</f>
        <v>6.127986111111111</v>
      </c>
      <c r="L142" s="14">
        <f>G142-G141</f>
        <v>0</v>
      </c>
      <c r="M142" s="14">
        <f>G142-$G$23</f>
        <v>13428</v>
      </c>
      <c r="N142" s="27">
        <v>45</v>
      </c>
      <c r="O142" s="27">
        <v>60</v>
      </c>
      <c r="P142" s="27">
        <f>N142+P141</f>
        <v>2773.648</v>
      </c>
      <c r="Q142" s="27">
        <f>N142*1.2</f>
        <v>54</v>
      </c>
      <c r="R142" s="18">
        <f>R141+(Q142/1000)</f>
        <v>389.236988</v>
      </c>
      <c r="S142" s="19">
        <v>0.33</v>
      </c>
      <c r="T142" s="20">
        <v>18</v>
      </c>
      <c r="U142" s="20">
        <f>U141+T142</f>
        <v>941.3606</v>
      </c>
      <c r="V142" s="20">
        <f>T142/N142</f>
        <v>0.4</v>
      </c>
      <c r="W142" t="s" s="33">
        <v>172</v>
      </c>
      <c r="X142" s="16"/>
      <c r="Y142" s="16"/>
    </row>
    <row r="143" ht="20.05" customHeight="1">
      <c r="A143" t="s" s="11">
        <v>173</v>
      </c>
      <c r="B143" t="s" s="35">
        <v>39</v>
      </c>
      <c r="C143" t="s" s="33">
        <v>61</v>
      </c>
      <c r="D143" s="14">
        <v>150</v>
      </c>
      <c r="E143" s="16"/>
      <c r="F143" s="16"/>
      <c r="G143" s="14">
        <v>87862</v>
      </c>
      <c r="H143" s="28">
        <v>0.21</v>
      </c>
      <c r="I143" s="25">
        <v>0.9</v>
      </c>
      <c r="J143" s="16">
        <v>0.0375</v>
      </c>
      <c r="K143" s="16">
        <f>K142+J143</f>
        <v>6.165486111111111</v>
      </c>
      <c r="L143" s="14">
        <f>G143-G142</f>
        <v>194</v>
      </c>
      <c r="M143" s="14">
        <f>G143-$G$23</f>
        <v>13622</v>
      </c>
      <c r="N143" s="27">
        <v>48.9</v>
      </c>
      <c r="O143" s="27">
        <v>60</v>
      </c>
      <c r="P143" s="27">
        <f>N143+P142</f>
        <v>2822.548</v>
      </c>
      <c r="Q143" s="27">
        <f>N143*670</f>
        <v>32763</v>
      </c>
      <c r="R143" s="18">
        <f>R142+(Q143/1000)</f>
        <v>421.999988</v>
      </c>
      <c r="S143" s="19">
        <v>0.33</v>
      </c>
      <c r="T143" s="20">
        <v>17.65</v>
      </c>
      <c r="U143" s="20">
        <f>U142+T143</f>
        <v>959.0106</v>
      </c>
      <c r="V143" s="20">
        <f>T143/N143</f>
        <v>0.360940695296524</v>
      </c>
      <c r="W143" s="16"/>
      <c r="X143" s="16"/>
      <c r="Y143" s="16"/>
    </row>
    <row r="144" ht="20.05" customHeight="1">
      <c r="A144" t="s" s="11">
        <v>174</v>
      </c>
      <c r="B144" t="s" s="35">
        <v>39</v>
      </c>
      <c r="C144" t="s" s="33">
        <v>72</v>
      </c>
      <c r="D144" s="14">
        <v>100</v>
      </c>
      <c r="E144" s="16"/>
      <c r="F144" s="16"/>
      <c r="G144" s="14">
        <v>88048</v>
      </c>
      <c r="H144" s="25">
        <v>0.5</v>
      </c>
      <c r="I144" s="25">
        <v>0.9</v>
      </c>
      <c r="J144" s="16">
        <v>0.02361111111111111</v>
      </c>
      <c r="K144" s="16">
        <f>K143+J144</f>
        <v>6.189097222222222</v>
      </c>
      <c r="L144" s="14">
        <f>G144-G143</f>
        <v>186</v>
      </c>
      <c r="M144" s="14">
        <f>G144-$G$23</f>
        <v>13808</v>
      </c>
      <c r="N144" s="27">
        <v>39.3</v>
      </c>
      <c r="O144" s="27">
        <v>65</v>
      </c>
      <c r="P144" s="27">
        <f>N144+P143</f>
        <v>2861.848</v>
      </c>
      <c r="Q144" s="27">
        <f>N144*670</f>
        <v>26331</v>
      </c>
      <c r="R144" s="18">
        <f>R143+(Q144/1000)</f>
        <v>448.330988</v>
      </c>
      <c r="S144" s="19">
        <v>0.31</v>
      </c>
      <c r="T144" s="20">
        <v>11.36</v>
      </c>
      <c r="U144" s="20">
        <f>U143+T144</f>
        <v>970.3706</v>
      </c>
      <c r="V144" s="20">
        <f>T144/N144</f>
        <v>0.289058524173028</v>
      </c>
      <c r="W144" s="16"/>
      <c r="X144" s="16"/>
      <c r="Y144" s="16"/>
    </row>
    <row r="145" ht="32.05" customHeight="1">
      <c r="A145" t="s" s="11">
        <v>175</v>
      </c>
      <c r="B145" t="s" s="35">
        <v>39</v>
      </c>
      <c r="C145" t="s" s="33">
        <v>61</v>
      </c>
      <c r="D145" s="14">
        <v>150</v>
      </c>
      <c r="E145" s="16"/>
      <c r="F145" s="16"/>
      <c r="G145" s="14">
        <v>88115</v>
      </c>
      <c r="H145" s="28">
        <v>0.39</v>
      </c>
      <c r="I145" s="25">
        <v>0.4</v>
      </c>
      <c r="J145" s="16">
        <v>0.0006944444444444445</v>
      </c>
      <c r="K145" s="16">
        <f>K144+J145</f>
        <v>6.189791666666666</v>
      </c>
      <c r="L145" s="14">
        <f>G145-G144</f>
        <v>67</v>
      </c>
      <c r="M145" s="14">
        <f>G145-$G$23</f>
        <v>13875</v>
      </c>
      <c r="N145" s="27">
        <v>0.7</v>
      </c>
      <c r="O145" s="27">
        <v>45</v>
      </c>
      <c r="P145" s="27">
        <f>N145+P144</f>
        <v>2862.548</v>
      </c>
      <c r="Q145" s="27">
        <f>N145*670</f>
        <v>469</v>
      </c>
      <c r="R145" s="18">
        <f>R144+(Q145/1000)</f>
        <v>448.799988</v>
      </c>
      <c r="S145" s="19">
        <v>0</v>
      </c>
      <c r="T145" s="20">
        <v>0.47</v>
      </c>
      <c r="U145" s="20">
        <f>U144+T145</f>
        <v>970.8406</v>
      </c>
      <c r="V145" s="20">
        <f>T145/N145</f>
        <v>0.671428571428571</v>
      </c>
      <c r="W145" s="16"/>
      <c r="X145" s="16"/>
      <c r="Y145" s="16"/>
    </row>
    <row r="146" ht="32.05" customHeight="1">
      <c r="A146" t="s" s="11">
        <v>176</v>
      </c>
      <c r="B146" t="s" s="35">
        <v>39</v>
      </c>
      <c r="C146" t="s" s="33">
        <v>72</v>
      </c>
      <c r="D146" s="14">
        <v>50</v>
      </c>
      <c r="E146" s="16"/>
      <c r="F146" s="16"/>
      <c r="G146" s="14">
        <v>88123</v>
      </c>
      <c r="H146" s="28">
        <v>0.39</v>
      </c>
      <c r="I146" s="28">
        <v>0.92</v>
      </c>
      <c r="J146" s="16">
        <v>0.04305555555555556</v>
      </c>
      <c r="K146" s="16">
        <f>K145+J146</f>
        <v>6.232847222222222</v>
      </c>
      <c r="L146" s="14">
        <f>G146-G145</f>
        <v>8</v>
      </c>
      <c r="M146" s="14">
        <f>G146-$G$23</f>
        <v>13883</v>
      </c>
      <c r="N146" s="27">
        <v>39</v>
      </c>
      <c r="O146" s="27">
        <v>48</v>
      </c>
      <c r="P146" s="27">
        <f>N146+P145</f>
        <v>2901.548</v>
      </c>
      <c r="Q146" s="27">
        <f>N146*670</f>
        <v>26130</v>
      </c>
      <c r="R146" s="18">
        <f>R145+(Q146/1000)</f>
        <v>474.929988</v>
      </c>
      <c r="S146" s="19">
        <v>0.31</v>
      </c>
      <c r="T146" s="20">
        <v>20.52</v>
      </c>
      <c r="U146" s="20">
        <f>U145+T146</f>
        <v>991.3606</v>
      </c>
      <c r="V146" s="20">
        <f>T146/N146</f>
        <v>0.526153846153846</v>
      </c>
      <c r="W146" s="16"/>
      <c r="X146" s="16"/>
      <c r="Y146" s="16"/>
    </row>
    <row r="147" ht="32.05" customHeight="1">
      <c r="A147" t="s" s="11">
        <v>177</v>
      </c>
      <c r="B147" t="s" s="35">
        <v>39</v>
      </c>
      <c r="C147" t="s" s="33">
        <v>151</v>
      </c>
      <c r="D147" s="14">
        <v>7</v>
      </c>
      <c r="E147" s="16"/>
      <c r="F147" s="16"/>
      <c r="G147" s="14">
        <v>88124</v>
      </c>
      <c r="H147" s="28">
        <v>0.92</v>
      </c>
      <c r="I147" s="28">
        <v>0.95</v>
      </c>
      <c r="J147" s="16">
        <v>0.03125</v>
      </c>
      <c r="K147" s="16">
        <f>K146+J147</f>
        <v>6.264097222222222</v>
      </c>
      <c r="L147" s="14">
        <f>G147-G146</f>
        <v>1</v>
      </c>
      <c r="M147" s="14">
        <f>G147-$G$23</f>
        <v>13884</v>
      </c>
      <c r="N147" s="27">
        <v>5</v>
      </c>
      <c r="O147" s="27">
        <v>6.4</v>
      </c>
      <c r="P147" s="27">
        <f>N147+P146</f>
        <v>2906.548</v>
      </c>
      <c r="Q147" s="27">
        <f>N147*670</f>
        <v>3350</v>
      </c>
      <c r="R147" s="18">
        <f>R146+(Q147/1000)</f>
        <v>478.279988</v>
      </c>
      <c r="S147" s="19">
        <v>0</v>
      </c>
      <c r="T147" s="20">
        <v>0</v>
      </c>
      <c r="U147" s="20">
        <f>U146+T147</f>
        <v>991.3606</v>
      </c>
      <c r="V147" s="20">
        <f>T147/N147</f>
        <v>0</v>
      </c>
      <c r="W147" s="16"/>
      <c r="X147" s="16"/>
      <c r="Y147" s="16"/>
    </row>
    <row r="148" ht="20.05" customHeight="1">
      <c r="A148" t="s" s="11">
        <v>178</v>
      </c>
      <c r="B148" t="s" s="35">
        <v>39</v>
      </c>
      <c r="C148" t="s" s="33">
        <v>49</v>
      </c>
      <c r="D148" s="14">
        <v>50</v>
      </c>
      <c r="E148" s="16"/>
      <c r="F148" s="16"/>
      <c r="G148" s="14">
        <v>88364</v>
      </c>
      <c r="H148" s="28">
        <v>0.15</v>
      </c>
      <c r="I148" s="25">
        <v>0.8</v>
      </c>
      <c r="J148" s="16">
        <v>0.04513888888888889</v>
      </c>
      <c r="K148" s="16">
        <f>K147+J148</f>
        <v>6.309236111111111</v>
      </c>
      <c r="L148" s="14">
        <f>G148-G147</f>
        <v>240</v>
      </c>
      <c r="M148" s="14">
        <f>G148-$G$23</f>
        <v>14124</v>
      </c>
      <c r="N148" s="27">
        <v>47.4</v>
      </c>
      <c r="O148" s="27">
        <v>48</v>
      </c>
      <c r="P148" s="27">
        <f>N148+P147</f>
        <v>2953.948</v>
      </c>
      <c r="Q148" s="27">
        <f>N148*670</f>
        <v>31758</v>
      </c>
      <c r="R148" s="18">
        <f>R147+(Q148/1000)</f>
        <v>510.037988</v>
      </c>
      <c r="S148" s="19">
        <v>0.25</v>
      </c>
      <c r="T148" s="20">
        <v>16.25</v>
      </c>
      <c r="U148" s="20">
        <f>U147+T148</f>
        <v>1007.6106</v>
      </c>
      <c r="V148" s="20">
        <f>T148/N148</f>
        <v>0.342827004219409</v>
      </c>
      <c r="W148" s="16"/>
      <c r="X148" s="16"/>
      <c r="Y148" s="16"/>
    </row>
    <row r="149" ht="20.05" customHeight="1">
      <c r="A149" t="s" s="11">
        <v>179</v>
      </c>
      <c r="B149" t="s" s="35">
        <v>39</v>
      </c>
      <c r="C149" t="s" s="33">
        <v>49</v>
      </c>
      <c r="D149" s="14">
        <v>50</v>
      </c>
      <c r="E149" s="16"/>
      <c r="F149" s="16"/>
      <c r="G149" s="14">
        <v>88527</v>
      </c>
      <c r="H149" s="25">
        <v>0.3</v>
      </c>
      <c r="I149" s="25">
        <v>0.8</v>
      </c>
      <c r="J149" s="16">
        <v>0.02777777777777778</v>
      </c>
      <c r="K149" s="16">
        <f>K148+J149</f>
        <v>6.337013888888889</v>
      </c>
      <c r="L149" s="14">
        <f>G149-G148</f>
        <v>163</v>
      </c>
      <c r="M149" s="14">
        <f>G149-$G$23</f>
        <v>14287</v>
      </c>
      <c r="N149" s="27">
        <v>31.5</v>
      </c>
      <c r="O149" s="27">
        <v>47</v>
      </c>
      <c r="P149" s="27">
        <f>N149+P148</f>
        <v>2985.448</v>
      </c>
      <c r="Q149" s="27">
        <f>N149*670</f>
        <v>21105</v>
      </c>
      <c r="R149" s="18">
        <f>R148+(Q149/1000)</f>
        <v>531.1429879999999</v>
      </c>
      <c r="S149" s="19">
        <v>0.33</v>
      </c>
      <c r="T149" s="20">
        <v>13.47</v>
      </c>
      <c r="U149" s="20">
        <f>U148+T149</f>
        <v>1021.0806</v>
      </c>
      <c r="V149" s="20">
        <f>T149/N149</f>
        <v>0.427619047619048</v>
      </c>
      <c r="W149" s="16"/>
      <c r="X149" s="16"/>
      <c r="Y149" s="16"/>
    </row>
    <row r="150" ht="20.05" customHeight="1">
      <c r="A150" t="s" s="11">
        <v>180</v>
      </c>
      <c r="B150" t="s" s="35">
        <v>39</v>
      </c>
      <c r="C150" t="s" s="33">
        <v>49</v>
      </c>
      <c r="D150" s="14">
        <v>50</v>
      </c>
      <c r="E150" s="16"/>
      <c r="F150" s="16"/>
      <c r="G150" s="14">
        <v>88685</v>
      </c>
      <c r="H150" s="28">
        <v>0.23</v>
      </c>
      <c r="I150" s="28">
        <v>0.75</v>
      </c>
      <c r="J150" s="16">
        <v>0.02847222222222222</v>
      </c>
      <c r="K150" s="16">
        <f>K149+J150</f>
        <v>6.365486111111111</v>
      </c>
      <c r="L150" s="14">
        <f>G150-G149</f>
        <v>158</v>
      </c>
      <c r="M150" s="14">
        <f>G150-$G$23</f>
        <v>14445</v>
      </c>
      <c r="N150" s="27">
        <v>31.7</v>
      </c>
      <c r="O150" s="27">
        <v>45</v>
      </c>
      <c r="P150" s="27">
        <f>N150+P149</f>
        <v>3017.148</v>
      </c>
      <c r="Q150" s="27">
        <f>N150*630</f>
        <v>19971</v>
      </c>
      <c r="R150" s="18">
        <f>R149+(Q150/1000)</f>
        <v>551.1139879999999</v>
      </c>
      <c r="S150" s="19">
        <v>0.25</v>
      </c>
      <c r="T150" s="20">
        <v>10.39</v>
      </c>
      <c r="U150" s="20">
        <f>U149+T150</f>
        <v>1031.4706</v>
      </c>
      <c r="V150" s="20">
        <f>T150/N150</f>
        <v>0.327760252365931</v>
      </c>
      <c r="W150" s="16"/>
      <c r="X150" s="16"/>
      <c r="Y150" s="16"/>
    </row>
    <row r="151" ht="20.05" customHeight="1">
      <c r="A151" t="s" s="11">
        <v>181</v>
      </c>
      <c r="B151" t="s" s="35">
        <v>39</v>
      </c>
      <c r="C151" t="s" s="33">
        <v>49</v>
      </c>
      <c r="D151" s="14">
        <v>50</v>
      </c>
      <c r="E151" s="16"/>
      <c r="F151" s="16"/>
      <c r="G151" s="14">
        <v>88831</v>
      </c>
      <c r="H151" s="25">
        <v>0.2</v>
      </c>
      <c r="I151" s="28">
        <v>0.75</v>
      </c>
      <c r="J151" s="16">
        <v>0.02140046296296296</v>
      </c>
      <c r="K151" s="16">
        <f>K150+J151</f>
        <v>6.386886574074074</v>
      </c>
      <c r="L151" s="14">
        <f>G151-G150</f>
        <v>146</v>
      </c>
      <c r="M151" s="14">
        <f>G151-$G$23</f>
        <v>14591</v>
      </c>
      <c r="N151" s="27">
        <v>23.1</v>
      </c>
      <c r="O151" s="27">
        <v>49</v>
      </c>
      <c r="P151" s="27">
        <f>N151+P150</f>
        <v>3040.248</v>
      </c>
      <c r="Q151" s="27">
        <f>N151*630</f>
        <v>14553</v>
      </c>
      <c r="R151" s="18">
        <f>R150+(Q151/1000)</f>
        <v>565.6669879999999</v>
      </c>
      <c r="S151" s="19">
        <v>0.25</v>
      </c>
      <c r="T151" s="20">
        <v>7.7</v>
      </c>
      <c r="U151" s="20">
        <f>U150+T151</f>
        <v>1039.1706</v>
      </c>
      <c r="V151" s="20">
        <f>T151/N151</f>
        <v>0.333333333333333</v>
      </c>
      <c r="W151" s="16"/>
      <c r="X151" s="16"/>
      <c r="Y151" s="16"/>
    </row>
    <row r="152" ht="20.05" customHeight="1">
      <c r="A152" t="s" s="11">
        <v>182</v>
      </c>
      <c r="B152" t="s" s="35">
        <v>39</v>
      </c>
      <c r="C152" t="s" s="33">
        <v>183</v>
      </c>
      <c r="D152" s="14">
        <v>7</v>
      </c>
      <c r="E152" s="16"/>
      <c r="F152" s="16"/>
      <c r="G152" s="14">
        <v>88945</v>
      </c>
      <c r="H152" s="28">
        <v>0.19</v>
      </c>
      <c r="I152" s="28">
        <v>0.75</v>
      </c>
      <c r="J152" s="16">
        <v>0.2458333333333333</v>
      </c>
      <c r="K152" s="16">
        <f>K151+J152</f>
        <v>6.632719907407408</v>
      </c>
      <c r="L152" s="14">
        <f>G152-G151</f>
        <v>114</v>
      </c>
      <c r="M152" s="14">
        <f>G152-$G$23</f>
        <v>14705</v>
      </c>
      <c r="N152" s="27">
        <v>41.3</v>
      </c>
      <c r="O152" s="27">
        <v>7</v>
      </c>
      <c r="P152" s="27">
        <f>N152+P151</f>
        <v>3081.548</v>
      </c>
      <c r="Q152" s="27">
        <f>N152*630</f>
        <v>26019</v>
      </c>
      <c r="R152" s="18">
        <f>R151+(Q152/1000)</f>
        <v>591.685988</v>
      </c>
      <c r="S152" s="19">
        <v>0.05</v>
      </c>
      <c r="T152" s="20">
        <v>19.68</v>
      </c>
      <c r="U152" s="20">
        <f>U151+T152</f>
        <v>1058.8506</v>
      </c>
      <c r="V152" s="20">
        <f>T152/N152</f>
        <v>0.476513317191283</v>
      </c>
      <c r="W152" s="16"/>
      <c r="X152" s="16"/>
      <c r="Y152" s="16"/>
    </row>
    <row r="153" ht="20.05" customHeight="1">
      <c r="A153" t="s" s="11">
        <v>182</v>
      </c>
      <c r="B153" t="s" s="35">
        <v>39</v>
      </c>
      <c r="C153" t="s" s="33">
        <v>183</v>
      </c>
      <c r="D153" s="14">
        <v>7</v>
      </c>
      <c r="E153" s="16"/>
      <c r="F153" s="16"/>
      <c r="G153" s="14">
        <v>89001</v>
      </c>
      <c r="H153" s="28">
        <v>0.6899999999999999</v>
      </c>
      <c r="I153" s="28">
        <v>0.75</v>
      </c>
      <c r="J153" s="16">
        <v>0.1145833333333333</v>
      </c>
      <c r="K153" s="16">
        <f>K152+J153</f>
        <v>6.747303240740741</v>
      </c>
      <c r="L153" s="14">
        <f>G153-G152</f>
        <v>56</v>
      </c>
      <c r="M153" s="14">
        <f>G153-$G$23</f>
        <v>14761</v>
      </c>
      <c r="N153" s="27">
        <v>19.25</v>
      </c>
      <c r="O153" s="27">
        <v>7</v>
      </c>
      <c r="P153" s="27">
        <f>N153+P152</f>
        <v>3100.798</v>
      </c>
      <c r="Q153" s="27">
        <f>N153*630</f>
        <v>12127.5</v>
      </c>
      <c r="R153" s="18">
        <f>R152+(Q153/1000)</f>
        <v>603.813488</v>
      </c>
      <c r="S153" s="19">
        <v>0.05</v>
      </c>
      <c r="T153" s="20">
        <v>9.199999999999999</v>
      </c>
      <c r="U153" s="20">
        <f>U152+T153</f>
        <v>1068.0506</v>
      </c>
      <c r="V153" s="20">
        <f>T153/N153</f>
        <v>0.477922077922078</v>
      </c>
      <c r="W153" s="16"/>
      <c r="X153" s="16"/>
      <c r="Y153" s="16"/>
    </row>
    <row r="154" ht="32.05" customHeight="1">
      <c r="A154" t="s" s="11">
        <v>184</v>
      </c>
      <c r="B154" t="s" s="35">
        <v>39</v>
      </c>
      <c r="C154" t="s" s="33">
        <v>49</v>
      </c>
      <c r="D154" s="14">
        <v>50</v>
      </c>
      <c r="E154" s="16"/>
      <c r="F154" s="16"/>
      <c r="G154" s="14">
        <v>89193</v>
      </c>
      <c r="H154" s="28">
        <v>0.34</v>
      </c>
      <c r="I154" s="28">
        <v>0.66</v>
      </c>
      <c r="J154" s="16">
        <v>0.02083333333333333</v>
      </c>
      <c r="K154" s="16">
        <f>K153+J154</f>
        <v>6.768136574074074</v>
      </c>
      <c r="L154" s="14">
        <f>G154-G153</f>
        <v>192</v>
      </c>
      <c r="M154" s="14">
        <f>G154-$G$23</f>
        <v>14953</v>
      </c>
      <c r="N154" s="27">
        <v>23.5</v>
      </c>
      <c r="O154" s="27">
        <v>48</v>
      </c>
      <c r="P154" s="27">
        <f>N154+P153</f>
        <v>3124.298</v>
      </c>
      <c r="Q154" s="27">
        <f>N154*630</f>
        <v>14805</v>
      </c>
      <c r="R154" s="18">
        <f>R153+(Q154/1000)</f>
        <v>618.618488</v>
      </c>
      <c r="S154" s="19">
        <v>0</v>
      </c>
      <c r="T154" s="20">
        <v>0</v>
      </c>
      <c r="U154" s="20">
        <f>U153+T154</f>
        <v>1068.0506</v>
      </c>
      <c r="V154" s="20">
        <f>T154/N154</f>
        <v>0</v>
      </c>
      <c r="W154" s="16"/>
      <c r="X154" s="16"/>
      <c r="Y154" s="16"/>
    </row>
    <row r="155" ht="20.05" customHeight="1">
      <c r="A155" t="s" s="11">
        <v>185</v>
      </c>
      <c r="B155" t="s" s="35">
        <v>39</v>
      </c>
      <c r="C155" t="s" s="33">
        <v>186</v>
      </c>
      <c r="D155" s="14">
        <v>50</v>
      </c>
      <c r="E155" s="16"/>
      <c r="F155" s="16"/>
      <c r="G155" s="14">
        <v>89328</v>
      </c>
      <c r="H155" s="25">
        <v>0.2</v>
      </c>
      <c r="I155" s="28">
        <v>0.85</v>
      </c>
      <c r="J155" s="16">
        <v>0.04375</v>
      </c>
      <c r="K155" s="16">
        <f>K154+J155</f>
        <v>6.811886574074074</v>
      </c>
      <c r="L155" s="14">
        <f>G155-G154</f>
        <v>135</v>
      </c>
      <c r="M155" s="14">
        <f>G155-$G$23</f>
        <v>15088</v>
      </c>
      <c r="N155" s="27">
        <v>46.06</v>
      </c>
      <c r="O155" s="27">
        <v>48</v>
      </c>
      <c r="P155" s="27">
        <f>N155+P154</f>
        <v>3170.358</v>
      </c>
      <c r="Q155" s="27">
        <f>N155*630</f>
        <v>29017.8</v>
      </c>
      <c r="R155" s="18">
        <f>R154+(Q155/1000)</f>
        <v>647.636288</v>
      </c>
      <c r="S155" s="19">
        <v>0.33</v>
      </c>
      <c r="T155" s="20">
        <v>20.87</v>
      </c>
      <c r="U155" s="20">
        <f>U154+T155</f>
        <v>1088.9206</v>
      </c>
      <c r="V155" s="20">
        <f>T155/N155</f>
        <v>0.453104646113765</v>
      </c>
      <c r="W155" s="16"/>
      <c r="X155" s="16"/>
      <c r="Y155" s="16"/>
    </row>
    <row r="156" ht="20.05" customHeight="1">
      <c r="A156" t="s" s="11">
        <v>187</v>
      </c>
      <c r="B156" t="s" s="35">
        <v>39</v>
      </c>
      <c r="C156" t="s" s="33">
        <v>45</v>
      </c>
      <c r="D156" s="14">
        <v>50</v>
      </c>
      <c r="E156" s="16"/>
      <c r="F156" s="16"/>
      <c r="G156" s="14">
        <v>89521</v>
      </c>
      <c r="H156" s="25">
        <v>0.3</v>
      </c>
      <c r="I156" s="28">
        <v>0.45</v>
      </c>
      <c r="J156" s="16">
        <v>0.01111111111111111</v>
      </c>
      <c r="K156" s="16">
        <f>K155+J156</f>
        <v>6.822997685185185</v>
      </c>
      <c r="L156" s="14">
        <f>G156-G155</f>
        <v>193</v>
      </c>
      <c r="M156" s="14">
        <f>G156-$G$23</f>
        <v>15281</v>
      </c>
      <c r="N156" s="27">
        <v>11.8</v>
      </c>
      <c r="O156" s="27">
        <v>46</v>
      </c>
      <c r="P156" s="27">
        <f>N156+P155</f>
        <v>3182.158</v>
      </c>
      <c r="Q156" s="27">
        <f>N156*18</f>
        <v>212.4</v>
      </c>
      <c r="R156" s="18">
        <f>R155+(Q156/1000)</f>
        <v>647.848688</v>
      </c>
      <c r="S156" s="19">
        <v>0.2113</v>
      </c>
      <c r="T156" s="20">
        <v>3.56</v>
      </c>
      <c r="U156" s="20">
        <f>U155+T156</f>
        <v>1092.4806</v>
      </c>
      <c r="V156" s="20">
        <f>T156/N156</f>
        <v>0.301694915254237</v>
      </c>
      <c r="W156" s="16"/>
      <c r="X156" s="16"/>
      <c r="Y156" s="16"/>
    </row>
    <row r="157" ht="20.05" customHeight="1">
      <c r="A157" t="s" s="11">
        <v>188</v>
      </c>
      <c r="B157" t="s" s="35">
        <v>39</v>
      </c>
      <c r="C157" t="s" s="33">
        <v>61</v>
      </c>
      <c r="D157" s="14">
        <v>150</v>
      </c>
      <c r="E157" s="16"/>
      <c r="F157" s="16"/>
      <c r="G157" s="14">
        <v>89597</v>
      </c>
      <c r="H157" s="25">
        <v>0.4</v>
      </c>
      <c r="I157" s="28">
        <v>0.9399999999999999</v>
      </c>
      <c r="J157" s="16">
        <v>0.04027777777777778</v>
      </c>
      <c r="K157" s="16">
        <f>K156+J157</f>
        <v>6.863275462962963</v>
      </c>
      <c r="L157" s="14">
        <f>G157-G156</f>
        <v>76</v>
      </c>
      <c r="M157" s="14">
        <f>G157-$G$23</f>
        <v>15357</v>
      </c>
      <c r="N157" s="27">
        <v>40.5</v>
      </c>
      <c r="O157" s="27">
        <v>72</v>
      </c>
      <c r="P157" s="27">
        <f>N157+P156</f>
        <v>3222.658</v>
      </c>
      <c r="Q157" s="27">
        <f>N157*18</f>
        <v>729</v>
      </c>
      <c r="R157" s="18">
        <f>R156+(Q157/1000)</f>
        <v>648.577688</v>
      </c>
      <c r="S157" s="19">
        <v>0.33</v>
      </c>
      <c r="T157" s="20">
        <v>15.65</v>
      </c>
      <c r="U157" s="20">
        <f>U156+T157</f>
        <v>1108.1306</v>
      </c>
      <c r="V157" s="20">
        <f>T157/N157</f>
        <v>0.38641975308642</v>
      </c>
      <c r="W157" s="16"/>
      <c r="X157" s="16"/>
      <c r="Y157" s="16"/>
    </row>
    <row r="158" ht="32.05" customHeight="1">
      <c r="A158" t="s" s="11">
        <v>189</v>
      </c>
      <c r="B158" t="s" s="35">
        <v>39</v>
      </c>
      <c r="C158" t="s" s="33">
        <v>40</v>
      </c>
      <c r="D158" s="14">
        <v>100</v>
      </c>
      <c r="E158" s="16"/>
      <c r="F158" s="16"/>
      <c r="G158" s="14">
        <v>89854</v>
      </c>
      <c r="H158" s="28">
        <v>0.24</v>
      </c>
      <c r="I158" s="28">
        <v>0.45</v>
      </c>
      <c r="J158" s="16">
        <v>0.01388888888888889</v>
      </c>
      <c r="K158" s="16">
        <f>K157+J158</f>
        <v>6.877164351851852</v>
      </c>
      <c r="L158" s="14">
        <f>G158-G157</f>
        <v>257</v>
      </c>
      <c r="M158" s="14">
        <f>G158-$G$23</f>
        <v>15614</v>
      </c>
      <c r="N158" s="27">
        <v>20</v>
      </c>
      <c r="O158" s="27">
        <v>72</v>
      </c>
      <c r="P158" s="27">
        <f>N158+P157</f>
        <v>3242.658</v>
      </c>
      <c r="Q158" s="27">
        <f>N158*18</f>
        <v>360</v>
      </c>
      <c r="R158" s="18">
        <f>R157+(Q158/1000)</f>
        <v>648.937688</v>
      </c>
      <c r="S158" s="19">
        <v>0</v>
      </c>
      <c r="T158" s="20">
        <v>0</v>
      </c>
      <c r="U158" s="20">
        <f>U157+T158</f>
        <v>1108.1306</v>
      </c>
      <c r="V158" s="20">
        <f>T158/N158</f>
        <v>0</v>
      </c>
      <c r="W158" s="16"/>
      <c r="X158" s="16"/>
      <c r="Y158" s="16"/>
    </row>
    <row r="159" ht="20.05" customHeight="1">
      <c r="A159" t="s" s="11">
        <v>190</v>
      </c>
      <c r="B159" t="s" s="35">
        <v>39</v>
      </c>
      <c r="C159" t="s" s="33">
        <v>45</v>
      </c>
      <c r="D159" s="14">
        <v>50</v>
      </c>
      <c r="E159" s="16"/>
      <c r="F159" s="16"/>
      <c r="G159" s="14">
        <v>89909</v>
      </c>
      <c r="H159" s="28">
        <v>0.23</v>
      </c>
      <c r="I159" s="25">
        <v>0.9</v>
      </c>
      <c r="J159" s="16">
        <v>0.04513888888888889</v>
      </c>
      <c r="K159" s="16">
        <f>K158+J159</f>
        <v>6.922303240740741</v>
      </c>
      <c r="L159" s="14">
        <f>G159-G158</f>
        <v>55</v>
      </c>
      <c r="M159" s="14">
        <f>G159-$G$23</f>
        <v>15669</v>
      </c>
      <c r="N159" s="27">
        <v>44.1</v>
      </c>
      <c r="O159" s="27">
        <v>49</v>
      </c>
      <c r="P159" s="27">
        <f>N159+P158</f>
        <v>3286.758</v>
      </c>
      <c r="Q159" s="27">
        <f>N159*18</f>
        <v>793.8</v>
      </c>
      <c r="R159" s="18">
        <f>R158+(Q159/1000)</f>
        <v>649.731488</v>
      </c>
      <c r="S159" s="19">
        <v>0.2113</v>
      </c>
      <c r="T159" s="20">
        <v>14.18</v>
      </c>
      <c r="U159" s="20">
        <f>U158+T159</f>
        <v>1122.3106</v>
      </c>
      <c r="V159" s="20">
        <f>T159/N159</f>
        <v>0.321541950113379</v>
      </c>
      <c r="W159" s="16"/>
      <c r="X159" s="16"/>
      <c r="Y159" s="16"/>
    </row>
    <row r="160" ht="32.05" customHeight="1">
      <c r="A160" t="s" s="11">
        <v>191</v>
      </c>
      <c r="B160" t="s" s="35">
        <v>39</v>
      </c>
      <c r="C160" t="s" s="33">
        <v>45</v>
      </c>
      <c r="D160" s="14">
        <v>50</v>
      </c>
      <c r="E160" s="16"/>
      <c r="F160" s="16"/>
      <c r="G160" s="14">
        <v>90071</v>
      </c>
      <c r="H160" s="25">
        <v>0.4</v>
      </c>
      <c r="I160" s="28">
        <v>0.45</v>
      </c>
      <c r="J160" s="16">
        <v>0.006944444444444444</v>
      </c>
      <c r="K160" s="16">
        <f>K159+J160</f>
        <v>6.929247685185185</v>
      </c>
      <c r="L160" s="14">
        <f>G160-G159</f>
        <v>162</v>
      </c>
      <c r="M160" s="14">
        <f>G160-$G$23</f>
        <v>15831</v>
      </c>
      <c r="N160" s="27">
        <v>7.5</v>
      </c>
      <c r="O160" s="27">
        <v>45</v>
      </c>
      <c r="P160" s="27">
        <f>N160+P159</f>
        <v>3294.258</v>
      </c>
      <c r="Q160" s="27">
        <f>N160*18</f>
        <v>135</v>
      </c>
      <c r="R160" s="18">
        <f>R159+(Q160/1000)</f>
        <v>649.866488</v>
      </c>
      <c r="S160" s="19">
        <v>0</v>
      </c>
      <c r="T160" s="20">
        <v>0</v>
      </c>
      <c r="U160" s="20">
        <f>U159+T160</f>
        <v>1122.3106</v>
      </c>
      <c r="V160" s="20">
        <f>T160/N160</f>
        <v>0</v>
      </c>
      <c r="W160" s="16"/>
      <c r="X160" s="16"/>
      <c r="Y160" s="16"/>
    </row>
    <row r="161" ht="20.05" customHeight="1">
      <c r="A161" t="s" s="11">
        <v>192</v>
      </c>
      <c r="B161" t="s" s="35">
        <v>39</v>
      </c>
      <c r="C161" t="s" s="33">
        <v>45</v>
      </c>
      <c r="D161" s="14">
        <v>50</v>
      </c>
      <c r="E161" s="16"/>
      <c r="F161" s="16"/>
      <c r="G161" s="14">
        <v>90185</v>
      </c>
      <c r="H161" s="28">
        <v>0.17</v>
      </c>
      <c r="I161" s="28">
        <v>0.82</v>
      </c>
      <c r="J161" s="16">
        <v>0.04861111111111111</v>
      </c>
      <c r="K161" s="16">
        <f>K160+J161</f>
        <v>6.977858796296296</v>
      </c>
      <c r="L161" s="14">
        <f>G161-G160</f>
        <v>114</v>
      </c>
      <c r="M161" s="14">
        <f>G161-$G$23</f>
        <v>15945</v>
      </c>
      <c r="N161" s="27">
        <v>49.3</v>
      </c>
      <c r="O161" s="27">
        <v>49</v>
      </c>
      <c r="P161" s="27">
        <f>N161+P160</f>
        <v>3343.558</v>
      </c>
      <c r="Q161" s="27">
        <f>N161*18</f>
        <v>887.4</v>
      </c>
      <c r="R161" s="18">
        <f>R160+(Q161/1000)</f>
        <v>650.753888</v>
      </c>
      <c r="S161" s="19">
        <v>0.2113</v>
      </c>
      <c r="T161" s="20">
        <v>15.21</v>
      </c>
      <c r="U161" s="20">
        <f>U160+T161</f>
        <v>1137.5206</v>
      </c>
      <c r="V161" s="20">
        <f>T161/N161</f>
        <v>0.308519269776876</v>
      </c>
      <c r="W161" s="16"/>
      <c r="X161" s="16"/>
      <c r="Y161" s="16"/>
    </row>
    <row r="162" ht="20.05" customHeight="1">
      <c r="A162" t="s" s="11">
        <v>193</v>
      </c>
      <c r="B162" t="s" s="35">
        <v>39</v>
      </c>
      <c r="C162" t="s" s="33">
        <v>45</v>
      </c>
      <c r="D162" s="14">
        <v>50</v>
      </c>
      <c r="E162" s="16"/>
      <c r="F162" s="16"/>
      <c r="G162" s="14">
        <v>90433</v>
      </c>
      <c r="H162" s="28">
        <v>0.09</v>
      </c>
      <c r="I162" s="28">
        <v>0.44</v>
      </c>
      <c r="J162" s="16">
        <v>0.02194444444444444</v>
      </c>
      <c r="K162" s="16">
        <f>K161+J162</f>
        <v>6.999803240740741</v>
      </c>
      <c r="L162" s="14">
        <f>G162-G161</f>
        <v>248</v>
      </c>
      <c r="M162" s="14">
        <f>G162-$G$23</f>
        <v>16193</v>
      </c>
      <c r="N162" s="27">
        <v>23.6</v>
      </c>
      <c r="O162" s="27">
        <v>47</v>
      </c>
      <c r="P162" s="27">
        <f>N162+P161</f>
        <v>3367.158</v>
      </c>
      <c r="Q162" s="27">
        <f>N162*18</f>
        <v>424.8</v>
      </c>
      <c r="R162" s="18">
        <f>R161+(Q162/1000)</f>
        <v>651.178688</v>
      </c>
      <c r="S162" s="19">
        <v>0.2113</v>
      </c>
      <c r="T162" s="20">
        <v>6.88</v>
      </c>
      <c r="U162" s="20">
        <f>U161+T162</f>
        <v>1144.4006</v>
      </c>
      <c r="V162" s="20">
        <f>T162/N162</f>
        <v>0.291525423728814</v>
      </c>
      <c r="W162" s="16"/>
      <c r="X162" s="16"/>
      <c r="Y162" s="16"/>
    </row>
    <row r="163" ht="20.05" customHeight="1">
      <c r="A163" t="s" s="11">
        <v>194</v>
      </c>
      <c r="B163" t="s" s="35">
        <v>39</v>
      </c>
      <c r="C163" t="s" s="33">
        <v>45</v>
      </c>
      <c r="D163" s="14">
        <v>50</v>
      </c>
      <c r="E163" s="16"/>
      <c r="F163" s="16"/>
      <c r="G163" s="14">
        <v>90433</v>
      </c>
      <c r="H163" s="28">
        <v>0.44</v>
      </c>
      <c r="I163" s="25">
        <v>0.5</v>
      </c>
      <c r="J163" s="16">
        <v>0.003425925925925926</v>
      </c>
      <c r="K163" s="16">
        <f>K162+J163</f>
        <v>7.003229166666666</v>
      </c>
      <c r="L163" s="14">
        <f>G163-G162</f>
        <v>0</v>
      </c>
      <c r="M163" s="14">
        <f>G163-$G$23</f>
        <v>16193</v>
      </c>
      <c r="N163" s="27">
        <v>3.7</v>
      </c>
      <c r="O163" s="27">
        <v>47</v>
      </c>
      <c r="P163" s="27">
        <f>N163+P162</f>
        <v>3370.858</v>
      </c>
      <c r="Q163" s="27">
        <f>N163*18</f>
        <v>66.59999999999999</v>
      </c>
      <c r="R163" s="18">
        <f>R162+(Q163/1000)</f>
        <v>651.245288</v>
      </c>
      <c r="S163" s="19">
        <v>0.2113</v>
      </c>
      <c r="T163" s="20">
        <v>1.07</v>
      </c>
      <c r="U163" s="20">
        <f>U162+T163</f>
        <v>1145.4706</v>
      </c>
      <c r="V163" s="20">
        <f>T163/N163</f>
        <v>0.289189189189189</v>
      </c>
      <c r="W163" s="16"/>
      <c r="X163" s="16"/>
      <c r="Y163" s="16"/>
    </row>
    <row r="164" ht="20.05" customHeight="1">
      <c r="A164" t="s" s="11">
        <v>195</v>
      </c>
      <c r="B164" s="17"/>
      <c r="C164" s="16"/>
      <c r="D164" s="16"/>
      <c r="E164" s="16"/>
      <c r="F164" s="16"/>
      <c r="G164" s="14">
        <v>90507</v>
      </c>
      <c r="H164" s="28">
        <v>0.44</v>
      </c>
      <c r="I164" s="25">
        <v>0.5</v>
      </c>
      <c r="J164" s="16">
        <v>7.066307870370371</v>
      </c>
      <c r="K164" s="16">
        <f>K163+J164</f>
        <v>14.06953703703704</v>
      </c>
      <c r="L164" s="14">
        <f>G164-G163</f>
        <v>74</v>
      </c>
      <c r="M164" s="14">
        <f>G164-$G$23</f>
        <v>16267</v>
      </c>
      <c r="N164" s="27">
        <f>SUM(N23:N163)</f>
        <v>3370.858</v>
      </c>
      <c r="O164" s="27"/>
      <c r="P164" s="27">
        <f>P163</f>
        <v>3370.858</v>
      </c>
      <c r="Q164" s="16"/>
      <c r="R164" s="18">
        <f>R163+(Q164/1000)</f>
        <v>651.245288</v>
      </c>
      <c r="S164" s="19">
        <v>0.21</v>
      </c>
      <c r="T164" s="20"/>
      <c r="U164" s="20">
        <f>U163+T164</f>
        <v>1145.4706</v>
      </c>
      <c r="V164" s="20"/>
      <c r="W164" s="16"/>
      <c r="X164" s="16"/>
      <c r="Y164" s="16"/>
    </row>
    <row r="165" ht="20.05" customHeight="1">
      <c r="A165" s="37"/>
      <c r="B165" s="17"/>
      <c r="C165" t="s" s="33">
        <v>196</v>
      </c>
      <c r="D165" s="14">
        <f>COUNTIF($D$23:$D$163,"&gt;0")</f>
        <v>137</v>
      </c>
      <c r="E165" s="16"/>
      <c r="F165" s="16"/>
      <c r="G165" s="16"/>
      <c r="H165" s="16"/>
      <c r="I165" s="16"/>
      <c r="J165" s="38"/>
      <c r="K165" s="16"/>
      <c r="L165" s="16"/>
      <c r="M165" s="16"/>
      <c r="N165" s="16"/>
      <c r="O165" s="14">
        <f>COUNTIF($O$23:$O$163,"&gt;0")</f>
        <v>136</v>
      </c>
      <c r="P165" s="16"/>
      <c r="Q165" s="27">
        <f>SUM(Q23:Q164)/1000</f>
        <v>651.245288</v>
      </c>
      <c r="R165" s="18"/>
      <c r="S165" s="19"/>
      <c r="T165" s="20"/>
      <c r="U165" s="20"/>
      <c r="V165" s="20"/>
      <c r="W165" s="16"/>
      <c r="X165" s="16"/>
      <c r="Y165" s="16"/>
    </row>
    <row r="166" ht="20.05" customHeight="1">
      <c r="A166" s="37"/>
      <c r="B166" s="17"/>
      <c r="C166" t="s" s="33">
        <v>197</v>
      </c>
      <c r="D166" s="14">
        <f>COUNTIF($D$23:$D$163,"=50")</f>
        <v>67</v>
      </c>
      <c r="E166" s="25">
        <f>D166/$D$165</f>
        <v>0.489051094890511</v>
      </c>
      <c r="F166" s="16"/>
      <c r="G166" s="16"/>
      <c r="H166" s="16"/>
      <c r="I166" s="16"/>
      <c r="J166" s="16"/>
      <c r="K166" s="16"/>
      <c r="L166" s="16"/>
      <c r="M166" s="16"/>
      <c r="N166" s="27"/>
      <c r="O166" s="14">
        <f>COUNTIF($O$23:$O$163,"&lt;50")</f>
        <v>109</v>
      </c>
      <c r="P166" s="16"/>
      <c r="Q166" s="16"/>
      <c r="R166" s="18"/>
      <c r="S166" s="19"/>
      <c r="T166" s="20"/>
      <c r="U166" s="20"/>
      <c r="V166" s="20"/>
      <c r="W166" s="16"/>
      <c r="X166" s="16"/>
      <c r="Y166" s="16"/>
    </row>
    <row r="167" ht="32.05" customHeight="1">
      <c r="A167" s="37"/>
      <c r="B167" s="17"/>
      <c r="C167" t="s" s="33">
        <v>198</v>
      </c>
      <c r="D167" s="14">
        <f>COUNTIF($D$23:$D$163,"&gt;50")</f>
        <v>38</v>
      </c>
      <c r="E167" s="25">
        <f>D167/$D$165</f>
        <v>0.277372262773723</v>
      </c>
      <c r="F167" s="16"/>
      <c r="G167" s="16"/>
      <c r="H167" s="16"/>
      <c r="I167" s="16"/>
      <c r="J167" s="16"/>
      <c r="K167" s="16"/>
      <c r="L167" s="16"/>
      <c r="M167" s="16"/>
      <c r="N167" s="27"/>
      <c r="O167" s="14">
        <f>COUNTIF($O$23:$O$163,"&gt;50")</f>
        <v>28</v>
      </c>
      <c r="P167" s="16"/>
      <c r="Q167" s="16"/>
      <c r="R167" s="18"/>
      <c r="S167" s="19"/>
      <c r="T167" s="20"/>
      <c r="U167" s="20"/>
      <c r="V167" s="20"/>
      <c r="W167" s="16"/>
      <c r="X167" s="16"/>
      <c r="Y167" s="16"/>
    </row>
    <row r="168" ht="20.05" customHeight="1">
      <c r="A168" s="37"/>
      <c r="B168" s="17"/>
      <c r="C168" t="s" s="33">
        <v>199</v>
      </c>
      <c r="D168" s="14">
        <f>COUNTIF($D$23:$D$163,"&lt;10")</f>
        <v>31</v>
      </c>
      <c r="E168" s="25">
        <f>D168/$D$165</f>
        <v>0.226277372262774</v>
      </c>
      <c r="F168" s="16"/>
      <c r="G168" s="16"/>
      <c r="H168" s="16"/>
      <c r="I168" s="16"/>
      <c r="J168" t="s" s="33">
        <v>200</v>
      </c>
      <c r="K168" s="27">
        <f>M164/P164</f>
        <v>4.82577432807908</v>
      </c>
      <c r="L168" t="s" s="33">
        <v>201</v>
      </c>
      <c r="M168" s="16"/>
      <c r="N168" s="27"/>
      <c r="O168" s="27"/>
      <c r="P168" s="16"/>
      <c r="Q168" s="16"/>
      <c r="R168" s="18"/>
      <c r="S168" s="19"/>
      <c r="T168" s="20"/>
      <c r="U168" s="20"/>
      <c r="V168" s="20"/>
      <c r="W168" s="16"/>
      <c r="X168" s="16"/>
      <c r="Y168" s="16"/>
    </row>
    <row r="169" ht="20.05" customHeight="1">
      <c r="A169" s="37"/>
      <c r="B169" s="17"/>
      <c r="C169" s="16"/>
      <c r="D169" s="16"/>
      <c r="E169" s="16"/>
      <c r="F169" s="16"/>
      <c r="G169" s="16"/>
      <c r="H169" s="16"/>
      <c r="I169" s="16"/>
      <c r="J169" t="s" s="33">
        <v>202</v>
      </c>
      <c r="K169" s="27">
        <f>SUM(L36:L55,L139:L156)/SUM(N36:N55,N139:N156)</f>
        <v>4.68874062922136</v>
      </c>
      <c r="L169" t="s" s="33">
        <v>201</v>
      </c>
      <c r="M169" s="16"/>
      <c r="N169" s="27"/>
      <c r="O169" s="27"/>
      <c r="P169" s="16"/>
      <c r="Q169" s="16"/>
      <c r="R169" s="18"/>
      <c r="S169" s="19"/>
      <c r="T169" s="20"/>
      <c r="U169" s="20"/>
      <c r="V169" s="20"/>
      <c r="W169" s="16"/>
      <c r="X169" s="16"/>
      <c r="Y169" s="16"/>
    </row>
    <row r="170" ht="20.05" customHeight="1">
      <c r="A170" s="37"/>
      <c r="B170" s="17"/>
      <c r="C170" s="16"/>
      <c r="D170" s="16"/>
      <c r="E170" s="16"/>
      <c r="F170" s="16"/>
      <c r="G170" s="16"/>
      <c r="H170" s="16"/>
      <c r="I170" s="16"/>
      <c r="J170" t="s" s="33">
        <v>203</v>
      </c>
      <c r="K170" s="27">
        <f>SUM(L23:L35,L57:L138,L157:L164)/SUM(N23:N35,N57:N138,N157:N163)</f>
        <v>5.03071302153907</v>
      </c>
      <c r="L170" s="16"/>
      <c r="M170" s="16"/>
      <c r="N170" s="27"/>
      <c r="O170" s="27"/>
      <c r="P170" s="16"/>
      <c r="Q170" s="16"/>
      <c r="R170" s="18"/>
      <c r="S170" s="19"/>
      <c r="T170" s="20"/>
      <c r="U170" s="20"/>
      <c r="V170" s="20"/>
      <c r="W170" s="16"/>
      <c r="X170" s="16"/>
      <c r="Y170" s="16"/>
    </row>
    <row r="171" ht="20.05" customHeight="1">
      <c r="A171" s="37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27"/>
      <c r="O171" s="27"/>
      <c r="P171" s="16"/>
      <c r="Q171" s="16"/>
      <c r="R171" s="18"/>
      <c r="S171" s="19"/>
      <c r="T171" s="20"/>
      <c r="U171" s="20"/>
      <c r="V171" s="20"/>
      <c r="W171" s="16"/>
      <c r="X171" s="16"/>
      <c r="Y171" s="16"/>
    </row>
    <row r="172" ht="20.05" customHeight="1">
      <c r="A172" s="37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27"/>
      <c r="O172" s="27"/>
      <c r="P172" s="16"/>
      <c r="Q172" s="16"/>
      <c r="R172" s="18"/>
      <c r="S172" s="19"/>
      <c r="T172" s="20"/>
      <c r="U172" s="20"/>
      <c r="V172" s="20"/>
      <c r="W172" s="16"/>
      <c r="X172" s="16"/>
      <c r="Y172" s="16"/>
    </row>
    <row r="173" ht="20.05" customHeight="1">
      <c r="A173" s="37"/>
      <c r="B173" s="39"/>
      <c r="C173" s="40"/>
      <c r="D173" s="40"/>
      <c r="E173" t="s" s="41">
        <v>204</v>
      </c>
      <c r="F173" s="16"/>
      <c r="G173" t="s" s="33">
        <v>205</v>
      </c>
      <c r="H173" t="s" s="33">
        <v>206</v>
      </c>
      <c r="I173" s="16"/>
      <c r="J173" s="16"/>
      <c r="K173" s="16"/>
      <c r="L173" s="16"/>
      <c r="M173" s="16"/>
      <c r="N173" s="27"/>
      <c r="O173" s="27"/>
      <c r="P173" s="16"/>
      <c r="Q173" s="16"/>
      <c r="R173" s="18"/>
      <c r="S173" s="19"/>
      <c r="T173" s="20"/>
      <c r="U173" s="20"/>
      <c r="V173" s="20"/>
      <c r="W173" s="16"/>
      <c r="X173" s="16"/>
      <c r="Y173" s="16"/>
    </row>
    <row r="174" ht="20.05" customHeight="1">
      <c r="A174" t="s" s="11">
        <v>207</v>
      </c>
      <c r="B174" s="17"/>
      <c r="C174" s="16"/>
      <c r="D174" s="16"/>
      <c r="E174" s="14">
        <f>SUM(Q22:Q29,Q156:Q164)/1000</f>
        <v>5.634</v>
      </c>
      <c r="F174" t="s" s="33">
        <v>208</v>
      </c>
      <c r="G174" s="14">
        <f>SUM(L22:L29,L156:L164)</f>
        <v>2028</v>
      </c>
      <c r="H174" s="20">
        <f>SUM(T22:T29,T156:T164)</f>
        <v>71.17059999999999</v>
      </c>
      <c r="I174" s="18">
        <f>SUM(L22:L29,L156:L164)/SUM(N22:N29,N156:N164)</f>
        <v>0.543429037224889</v>
      </c>
      <c r="J174" t="s" s="33">
        <v>201</v>
      </c>
      <c r="K174" s="16"/>
      <c r="L174" s="16"/>
      <c r="M174" s="16"/>
      <c r="N174" s="27"/>
      <c r="O174" s="27"/>
      <c r="P174" s="16"/>
      <c r="Q174" s="16"/>
      <c r="R174" s="18"/>
      <c r="S174" s="19"/>
      <c r="T174" s="20"/>
      <c r="U174" s="20"/>
      <c r="V174" s="20"/>
      <c r="W174" s="16"/>
      <c r="X174" s="16"/>
      <c r="Y174" s="16"/>
    </row>
    <row r="175" ht="20.05" customHeight="1">
      <c r="A175" t="s" s="11">
        <v>209</v>
      </c>
      <c r="B175" s="17"/>
      <c r="C175" s="16"/>
      <c r="D175" s="16"/>
      <c r="E175" s="27">
        <f>SUM(Q30:Q40,Q150:Q155)/1000</f>
        <v>273.6783</v>
      </c>
      <c r="F175" t="s" s="33">
        <v>208</v>
      </c>
      <c r="G175" s="14">
        <f>SUM(L30:L40,L150:L155)</f>
        <v>1972</v>
      </c>
      <c r="H175" s="20">
        <f>SUM(T30:T40,T150:T155)</f>
        <v>164.62</v>
      </c>
      <c r="I175" s="18">
        <f>SUM(L30:L40,L150:L155)/SUM(N30:N40,N150:N155)</f>
        <v>4.53949034322414</v>
      </c>
      <c r="J175" t="s" s="33">
        <v>201</v>
      </c>
      <c r="K175" s="16"/>
      <c r="L175" s="16"/>
      <c r="M175" s="16"/>
      <c r="N175" s="27"/>
      <c r="O175" s="27"/>
      <c r="P175" s="16"/>
      <c r="Q175" s="16"/>
      <c r="R175" s="18"/>
      <c r="S175" s="19"/>
      <c r="T175" s="20"/>
      <c r="U175" s="20"/>
      <c r="V175" s="20"/>
      <c r="W175" s="16"/>
      <c r="X175" s="16"/>
      <c r="Y175" s="16"/>
    </row>
    <row r="176" ht="20.05" customHeight="1">
      <c r="A176" t="s" s="11">
        <v>210</v>
      </c>
      <c r="B176" s="17"/>
      <c r="C176" s="16"/>
      <c r="D176" s="16"/>
      <c r="E176" s="27">
        <f>SUM(Q41:Q48,Q143:Q149)/1000</f>
        <v>257.4743</v>
      </c>
      <c r="F176" t="s" s="33">
        <v>208</v>
      </c>
      <c r="G176" s="14">
        <f>SUM(L41:L48,L143:L149)</f>
        <v>1781</v>
      </c>
      <c r="H176" s="20">
        <f>SUM(T41:T48,T143:T149)</f>
        <v>137.55</v>
      </c>
      <c r="I176" s="18">
        <f>SUM(L41:L48,L143:L149)/SUM(N41:N48,N143:N149)</f>
        <v>4.63452080460069</v>
      </c>
      <c r="J176" t="s" s="33">
        <v>201</v>
      </c>
      <c r="K176" s="16"/>
      <c r="L176" s="16"/>
      <c r="M176" s="16"/>
      <c r="N176" s="27"/>
      <c r="O176" s="27"/>
      <c r="P176" s="16"/>
      <c r="Q176" s="16"/>
      <c r="R176" s="18"/>
      <c r="S176" s="19"/>
      <c r="T176" s="20"/>
      <c r="U176" s="20"/>
      <c r="V176" s="20"/>
      <c r="W176" s="16"/>
      <c r="X176" s="16"/>
      <c r="Y176" s="16"/>
    </row>
    <row r="177" ht="20.05" customHeight="1">
      <c r="A177" t="s" s="11">
        <v>211</v>
      </c>
      <c r="B177" s="17"/>
      <c r="C177" s="16"/>
      <c r="D177" s="16"/>
      <c r="E177" s="27">
        <f>SUM(Q49:Q55,Q139:Q142)/1000</f>
        <v>0.290364</v>
      </c>
      <c r="F177" t="s" s="33">
        <v>208</v>
      </c>
      <c r="G177" s="14">
        <f>SUM(L49:L55,L139:L142)</f>
        <v>1170</v>
      </c>
      <c r="H177" s="20">
        <f>SUM(T49:T55,T139:T142)</f>
        <v>66.03</v>
      </c>
      <c r="I177" s="18">
        <f>SUM(L49:L55,L139:L142)/SUM(N49:N55,N139:N142)</f>
        <v>4.83531016241683</v>
      </c>
      <c r="J177" t="s" s="33">
        <v>201</v>
      </c>
      <c r="K177" s="16"/>
      <c r="L177" s="16"/>
      <c r="M177" s="16"/>
      <c r="N177" s="27"/>
      <c r="O177" s="27"/>
      <c r="P177" s="16"/>
      <c r="Q177" s="16"/>
      <c r="R177" s="18"/>
      <c r="S177" s="19"/>
      <c r="T177" s="20"/>
      <c r="U177" s="20"/>
      <c r="V177" s="20"/>
      <c r="W177" s="16"/>
      <c r="X177" s="16"/>
      <c r="Y177" s="16"/>
    </row>
    <row r="178" ht="20.05" customHeight="1">
      <c r="A178" t="s" s="11">
        <v>212</v>
      </c>
      <c r="B178" s="17"/>
      <c r="C178" s="16"/>
      <c r="D178" s="16"/>
      <c r="E178" s="27">
        <f>SUM(Q56:Q90,Q124:Q138)/1000</f>
        <v>31.6849</v>
      </c>
      <c r="F178" t="s" s="33">
        <v>208</v>
      </c>
      <c r="G178" s="14">
        <f>SUM(L57:L91,L124:L138)</f>
        <v>5862</v>
      </c>
      <c r="H178" s="20">
        <f>SUM(T56:T90,T124:T138)</f>
        <v>462.27</v>
      </c>
      <c r="I178" s="18">
        <f>SUM(L56:L90,L124:L138)/SUM(N56:N90,N124:N138)</f>
        <v>4.80859967997374</v>
      </c>
      <c r="J178" t="s" s="33">
        <v>201</v>
      </c>
      <c r="K178" s="16"/>
      <c r="L178" s="16"/>
      <c r="M178" s="16"/>
      <c r="N178" s="27"/>
      <c r="O178" s="27"/>
      <c r="P178" s="16"/>
      <c r="Q178" s="16"/>
      <c r="R178" s="18"/>
      <c r="S178" s="19"/>
      <c r="T178" s="20"/>
      <c r="U178" s="20"/>
      <c r="V178" s="20"/>
      <c r="W178" s="16"/>
      <c r="X178" s="16"/>
      <c r="Y178" s="16"/>
    </row>
    <row r="179" ht="20.05" customHeight="1">
      <c r="A179" t="s" s="11">
        <v>213</v>
      </c>
      <c r="B179" s="17"/>
      <c r="C179" s="16"/>
      <c r="D179" s="16"/>
      <c r="E179" s="27">
        <f>SUM(Q91:Q94,Q116:Q123)/1000</f>
        <v>0.371364</v>
      </c>
      <c r="F179" t="s" s="33">
        <v>208</v>
      </c>
      <c r="G179" s="14">
        <f>SUM(L91:L94,L116:L123)</f>
        <v>1538</v>
      </c>
      <c r="H179" s="20">
        <f>SUM(T91:T94,T116:T123)</f>
        <v>90.22</v>
      </c>
      <c r="I179" s="18">
        <f>SUM(L91:L94,L116:L123)/SUM(N91:N94,N116:N123)</f>
        <v>4.96978705528807</v>
      </c>
      <c r="J179" t="s" s="33">
        <v>201</v>
      </c>
      <c r="K179" s="16"/>
      <c r="L179" s="16"/>
      <c r="M179" s="16"/>
      <c r="N179" s="27"/>
      <c r="O179" s="27"/>
      <c r="P179" s="16"/>
      <c r="Q179" s="16"/>
      <c r="R179" s="18"/>
      <c r="S179" s="19"/>
      <c r="T179" s="20"/>
      <c r="U179" s="20"/>
      <c r="V179" s="20"/>
      <c r="W179" s="16"/>
      <c r="X179" s="16"/>
      <c r="Y179" s="16"/>
    </row>
    <row r="180" ht="20.05" customHeight="1">
      <c r="A180" t="s" s="11">
        <v>214</v>
      </c>
      <c r="B180" s="17"/>
      <c r="C180" s="16"/>
      <c r="D180" s="16"/>
      <c r="E180" s="27">
        <f>SUM(Q95:Q100,Q111:Q115)/1000</f>
        <v>81.8214</v>
      </c>
      <c r="F180" t="s" s="33">
        <v>208</v>
      </c>
      <c r="G180" s="14">
        <f>SUM(L95:L100,L111:L115)</f>
        <v>1249</v>
      </c>
      <c r="H180" s="20">
        <f>SUM(T95:T100,T111:T115)</f>
        <v>96.81999999999999</v>
      </c>
      <c r="I180" s="18">
        <f>SUM(L95:L100,L111:L115)/SUM(N95:N100,N111:N115)</f>
        <v>4.57948654019609</v>
      </c>
      <c r="J180" t="s" s="33">
        <v>201</v>
      </c>
      <c r="K180" s="16"/>
      <c r="L180" s="16"/>
      <c r="M180" s="16"/>
      <c r="N180" s="27"/>
      <c r="O180" s="27"/>
      <c r="P180" s="16"/>
      <c r="Q180" s="16"/>
      <c r="R180" s="18"/>
      <c r="S180" s="19"/>
      <c r="T180" s="20"/>
      <c r="U180" s="20"/>
      <c r="V180" s="20"/>
      <c r="W180" s="16"/>
      <c r="X180" s="16"/>
      <c r="Y180" s="16"/>
    </row>
    <row r="181" ht="20.05" customHeight="1">
      <c r="A181" t="s" s="11">
        <v>215</v>
      </c>
      <c r="B181" s="17"/>
      <c r="C181" s="16"/>
      <c r="D181" s="16"/>
      <c r="E181" s="27">
        <f>SUM(Q102:Q109)/1000</f>
        <v>0.29066</v>
      </c>
      <c r="F181" t="s" s="33">
        <v>208</v>
      </c>
      <c r="G181" s="14">
        <f>SUM(L101:L110)</f>
        <v>1005</v>
      </c>
      <c r="H181" s="20">
        <f>SUM(T102:T109)</f>
        <v>66.45</v>
      </c>
      <c r="I181" s="18">
        <f>SUM(L102:L110)/SUM(N102:N110)</f>
        <v>5.71024067956583</v>
      </c>
      <c r="J181" t="s" s="33">
        <v>201</v>
      </c>
      <c r="K181" s="16"/>
      <c r="L181" s="16"/>
      <c r="M181" s="16"/>
      <c r="N181" s="27"/>
      <c r="O181" s="27"/>
      <c r="P181" s="16"/>
      <c r="Q181" s="16"/>
      <c r="R181" s="18"/>
      <c r="S181" s="19"/>
      <c r="T181" s="20"/>
      <c r="U181" s="20"/>
      <c r="V181" s="20"/>
      <c r="W181" s="16"/>
      <c r="X181" s="16"/>
      <c r="Y181" s="16"/>
    </row>
    <row r="182" ht="20.05" customHeight="1">
      <c r="A182" s="37"/>
      <c r="B182" s="17"/>
      <c r="C182" s="16"/>
      <c r="D182" s="16"/>
      <c r="E182" s="16"/>
      <c r="F182" t="s" s="33">
        <v>216</v>
      </c>
      <c r="G182" s="38"/>
      <c r="H182" s="25">
        <f>AVERAGE(H24:H164)</f>
        <v>0.370719424460432</v>
      </c>
      <c r="I182" s="25">
        <f>AVERAGE(I23:I164)</f>
        <v>0.710214285714286</v>
      </c>
      <c r="J182" s="16">
        <v>0.1031577791294944</v>
      </c>
      <c r="K182" s="16"/>
      <c r="L182" s="27">
        <f>_xlfn.AVERAGEIF(L23:L164,"&gt;1")</f>
        <v>136.065573770492</v>
      </c>
      <c r="M182" s="27"/>
      <c r="N182" s="27">
        <f>AVERAGE(N23:N164)</f>
        <v>48.1551142857143</v>
      </c>
      <c r="O182" s="27">
        <f>AVERAGE(O23:O163)</f>
        <v>40.5294964028777</v>
      </c>
      <c r="P182" s="27"/>
      <c r="Q182" s="18">
        <f>_xlfn.AVERAGEIF(Q23:Q164,"&gt;0")/1000</f>
        <v>4.82403917037037</v>
      </c>
      <c r="R182" t="s" s="33">
        <v>208</v>
      </c>
      <c r="S182" s="20">
        <f>AVERAGE(S23:S164)</f>
        <v>0.189458169014085</v>
      </c>
      <c r="T182" s="20">
        <f>AVERAGE(T23:T163)</f>
        <v>8.19241560283688</v>
      </c>
      <c r="U182" s="27"/>
      <c r="V182" s="20">
        <f>AVERAGE(V23:V120)</f>
        <v>0.363633907267672</v>
      </c>
      <c r="W182" s="27">
        <f>AVERAGE(W23:W120)</f>
      </c>
      <c r="X182" s="27">
        <f>AVERAGE(X23:X120)</f>
      </c>
      <c r="Y182" s="16"/>
    </row>
    <row r="183" ht="20.05" customHeight="1">
      <c r="A183" s="37"/>
      <c r="B183" s="17"/>
      <c r="C183" s="16"/>
      <c r="D183" s="16"/>
      <c r="E183" s="16"/>
      <c r="F183" t="s" s="33">
        <v>217</v>
      </c>
      <c r="G183" s="38"/>
      <c r="H183" s="25">
        <f>AVERAGE(H24:H33,H36:H40,H42:H50,H54:H57,H59:H66,H69:H72,H74,H77:H83,H85:H87,H89,H91:H98,H100,H103,H106,H108:H111,H113,H115:H118,H121,H123:H126,H128:H139,H141:H146,H148:H151,H154:H163)</f>
        <v>0.331666666666667</v>
      </c>
      <c r="I183" s="25">
        <f>AVERAGE(I24:I33,I36:I40,I42:I50,I54:I57,I59:I66,I69:I72,I74,I77:I83,I85:I87,I89,I91:I98,I100,I103,I106,I108:I111,I113,I115:I118,I121,I123:I126,I128:I139,I141:I146,I148:I151,I154:I163)</f>
        <v>0.728518518518519</v>
      </c>
      <c r="J183" s="14">
        <v>0.02735445055904961</v>
      </c>
      <c r="K183" s="16"/>
      <c r="L183" s="27">
        <f>AVERAGE(L24:L33,L36:L40,L42:L50,L54:L57,L59:L66,L69:L72,L74,L77:L83,L85:L87,L89,L91:L98,L100,L103,L106,L108:L111,L113,L115:L118,L121,L123:L126,L128:L139,L141:L146,L148:L151,L154:L163)</f>
        <v>127.458715596330</v>
      </c>
      <c r="M183" s="27"/>
      <c r="N183" s="27">
        <f>AVERAGE(N24:N33,N36:N40,N42:N50,N54:N57,N59:N66,N69:N72,N74,N77:N83,N85:N87,N89,N91:N98,N100,N103,N106,N108:N111,N113,N115:N118,N121,N123:N126,N128:N139,N141:N146,N148:N151,N154:N163)</f>
        <v>28.0676851851852</v>
      </c>
      <c r="O183" s="27">
        <f>AVERAGE(O24:O33,O36:O40,O42:O50,O54:O57,O59:O66,O69:O72,O74,O77:O83,O85:O87,O89,O91:O98,O100,O103,O106,O108:O111,O113,O115:O118,O121,O123:O126,O128:O139,O141:O146,O148:O151,O154:O163)</f>
        <v>50.7574074074074</v>
      </c>
      <c r="P183" s="27"/>
      <c r="Q183" s="27">
        <f>AVERAGE(Q24:Q33,Q36:Q40,Q42:Q50,Q54:Q57,Q59:Q66,Q69:Q72,Q74,Q77:Q83,Q85:Q87,Q89,Q91:Q98,Q100,Q103,Q106,Q108:Q111,Q113,Q115:Q118,Q121,Q123:Q126,Q128:Q139,Q141:Q146,Q148:Q151,Q154:Q163)/1000</f>
        <v>5.50427174074074</v>
      </c>
      <c r="R183" t="s" s="33">
        <v>208</v>
      </c>
      <c r="S183" s="20">
        <f>AVERAGE(S24:S33,S36:S40,S42:S50,S54:S57,S59:S66,S69:S72,S74,S77:S83,S85:S87,S89,S91:S98,S100,S103,S106,S108:S111,S113,S115:S118,S121,S123:S126,S128:S139,S141:S146,S148:S151,S154:S163)</f>
        <v>0.238053211009174</v>
      </c>
      <c r="T183" s="20">
        <f>AVERAGE(T24:T33,T36:T40,T42:T50,T54:T57,T59:T66,T69:T72,T74,T77:T83,T85:T87,T89,T91:T98,T100,T103,T106,T108:T111,T113,T115:T118,T121,T123:T126,T128:T139,T141:T146,T148:T151,T154:T163)</f>
        <v>10.1464220183486</v>
      </c>
      <c r="U183" s="27"/>
      <c r="V183" s="20">
        <f>AVERAGE(V24:V33,V36:V40,V42:V50,V54:V57,V59:V66,V69:V72,V74,V77:V83,V85:V87,V89,V91:V98,V100,V103,V106,V108:V111,V113,V115:V118,V121,V123:V126,V128:V139,V141:V146,V148:V151,V154:V163)</f>
        <v>0.42114809058308</v>
      </c>
      <c r="W183" s="27">
        <f>AVERAGE(W24:W121)</f>
      </c>
      <c r="X183" s="27">
        <f>AVERAGE(X24:X121)</f>
      </c>
      <c r="Y183" s="16"/>
    </row>
    <row r="184" ht="20.05" customHeight="1">
      <c r="A184" s="37"/>
      <c r="B184" s="17"/>
      <c r="C184" s="16"/>
      <c r="D184" s="16"/>
      <c r="E184" s="16"/>
      <c r="F184" t="s" s="33">
        <v>218</v>
      </c>
      <c r="G184" s="38"/>
      <c r="H184" s="25">
        <f>SUM(SUM(H23,H34,H35,H41,H51,H52,H53,H58,H67,H68,H73,H75,H76,H84,H88,H90,H99,H102,H104,H105,H107,H112,H114,H119,H120,H122,H127,H140,H147,H152),H153)/31</f>
        <v>0.509</v>
      </c>
      <c r="I184" s="25">
        <f>SUM(SUM(I23,I34,I35,I41,I51,I52,I53,I58,I67,I68,I73,I75,I76,I84,I88,I90,I99,I102,I104,I105,I107,I112,I114,I119,I120,I122,I127,I140,I147,I152),I153)/31</f>
        <v>0.653225806451613</v>
      </c>
      <c r="J184" s="14">
        <f>SUM(SUM(J23,J34,J35,J41,J51,J52,J53,J58,J67,J68,J73,J75,J76,J84,J88,J90,J99,J102,J104,J105,J107,J112,J114,J119,J120,J122,J127,J140,J147,J152),J153)/31</f>
        <v>0.1388912037037037</v>
      </c>
      <c r="K184" s="16"/>
      <c r="L184" s="27">
        <f>SUM(SUM(L23,L34,L35,L41,L51,L52,L53,L58,L67,L68,L73,L75,L76,L84,L88,L90,L99,L102,L104,L105,L107,L112,L114,L119,L120,L122,L127,L140,L147,L152),L153)/31</f>
        <v>82.59999999999999</v>
      </c>
      <c r="M184" s="27"/>
      <c r="N184" s="27">
        <f>SUM(SUM(N23,N34,N35,N41,N51,N52,N53,N58,N67,N68,N73,N75,N76,N84,N88,N90,N99,N102,N104,N105,N107,N112,N114,N119,N120,N122,N127,N140,N147,N152),N153)/31</f>
        <v>10.9531612903226</v>
      </c>
      <c r="O184" s="27">
        <f>SUM(SUM(O23,O34,O35,O41,O51,O52,O53,O58,O67,O68,O73,O75,O76,O84,O88,O90,O99,O102,O104,O105,O107,O112,O114,O119,O120,O122,O127,O140,O147,O152),O153)/31</f>
        <v>4.89677419354839</v>
      </c>
      <c r="P184" s="27"/>
      <c r="Q184" s="27">
        <f>SUM(SUM(Q23,Q34,Q35,Q41,Q51,Q52,Q53,Q58,Q67,Q68,Q73,Q75,Q76,Q84,Q88,Q90,Q99,Q102,Q104,Q105,Q107,Q112,Q114,Q119,Q120,Q122,Q127,Q140,Q147,Q152),Q153)/31/1000</f>
        <v>1.83174</v>
      </c>
      <c r="R184" t="s" s="33">
        <v>208</v>
      </c>
      <c r="S184" s="20">
        <f>SUM(SUM(S23,S34,S35,S41,S51,S52,S53,S58,S67,S68,S73,S75,S76,S84,S88,S90,S99,S102,S104,S105,S107,S112,S114,S119,S120,S122,S127,S140,S147,S152),S153)/31</f>
        <v>0.0240406451612903</v>
      </c>
      <c r="T184" s="20">
        <f>SUM(SUM(T23,T34,T35,T41,T51,T52,T53,T58,T67,T68,T73,T75,T76,T84,T88,T90,T99,T102,T104,T105,T107,T112,T114,T119,T120,T122,T127,T140,T147,T152),T153)/31</f>
        <v>1.58614838709677</v>
      </c>
      <c r="U184" s="27"/>
      <c r="V184" s="20">
        <f>SUM(SUM(V23,V34,V35,V41,V51,V52,V53,V58,V67,V68,V73,V75,V76,V84,V88,V90,V99,V102,V104,V105,V107,V112,V114,V119,V120,V122,V127,V140,V147,V152),V153)/31</f>
        <v>0.104166585949995</v>
      </c>
      <c r="W184" s="27">
        <f>AVERAGE(W25:W122)</f>
      </c>
      <c r="X184" s="27">
        <f>AVERAGE(X25:X122)</f>
      </c>
      <c r="Y184" s="16"/>
    </row>
  </sheetData>
  <mergeCells count="1">
    <mergeCell ref="A1:Y1"/>
  </mergeCells>
  <hyperlinks>
    <hyperlink ref="Q2" r:id="rId1" location="" tooltip="" display="gCO2 Equivalent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